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bdul Ahad\Porsche Beachwood\Porsche Beachwood\"/>
    </mc:Choice>
  </mc:AlternateContent>
  <xr:revisionPtr revIDLastSave="0" documentId="13_ncr:1_{4A1FDE0E-0AEE-4357-B5C9-218FF04DFE05}" xr6:coauthVersionLast="47" xr6:coauthVersionMax="47" xr10:uidLastSave="{00000000-0000-0000-0000-000000000000}"/>
  <bookViews>
    <workbookView xWindow="-120" yWindow="-120" windowWidth="29040" windowHeight="15720" tabRatio="647" firstSheet="2" activeTab="2" xr2:uid="{00000000-000D-0000-FFFF-FFFF00000000}"/>
  </bookViews>
  <sheets>
    <sheet name="Chart1" sheetId="14" state="hidden" r:id="rId1"/>
    <sheet name="Sheet1" sheetId="15" state="hidden" r:id="rId2"/>
    <sheet name="ESTIMATE" sheetId="16" r:id="rId3"/>
  </sheets>
  <definedNames>
    <definedName name="_xlnm.Print_Area" localSheetId="2">ESTIMATE!$A$1:$M$448</definedName>
    <definedName name="_xlnm.Print_Titles" localSheetId="2">ESTIMATE!$4:$4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0" i="16" l="1"/>
  <c r="K393" i="16"/>
  <c r="L393" i="16" s="1"/>
  <c r="I393" i="16"/>
  <c r="D393" i="16"/>
  <c r="K392" i="16"/>
  <c r="L392" i="16" s="1"/>
  <c r="I392" i="16"/>
  <c r="D392" i="16"/>
  <c r="K391" i="16"/>
  <c r="L391" i="16" s="1"/>
  <c r="I391" i="16"/>
  <c r="D391" i="16"/>
  <c r="K385" i="16"/>
  <c r="L385" i="16" s="1"/>
  <c r="I385" i="16"/>
  <c r="D385" i="16"/>
  <c r="K363" i="16"/>
  <c r="L363" i="16" s="1"/>
  <c r="I363" i="16"/>
  <c r="L362" i="16"/>
  <c r="K362" i="16"/>
  <c r="I362" i="16"/>
  <c r="K361" i="16"/>
  <c r="L361" i="16" s="1"/>
  <c r="I361" i="16"/>
  <c r="K360" i="16"/>
  <c r="L360" i="16" s="1"/>
  <c r="I360" i="16"/>
  <c r="K359" i="16"/>
  <c r="L359" i="16" s="1"/>
  <c r="I359" i="16"/>
  <c r="L358" i="16"/>
  <c r="K358" i="16"/>
  <c r="I358" i="16"/>
  <c r="K357" i="16"/>
  <c r="L357" i="16" s="1"/>
  <c r="I357" i="16"/>
  <c r="K356" i="16"/>
  <c r="L356" i="16" s="1"/>
  <c r="I356" i="16"/>
  <c r="K355" i="16"/>
  <c r="L355" i="16" s="1"/>
  <c r="I355" i="16"/>
  <c r="K354" i="16"/>
  <c r="L354" i="16" s="1"/>
  <c r="I354" i="16"/>
  <c r="K353" i="16"/>
  <c r="L353" i="16" s="1"/>
  <c r="I353" i="16"/>
  <c r="K352" i="16"/>
  <c r="L352" i="16" s="1"/>
  <c r="I352" i="16"/>
  <c r="K351" i="16"/>
  <c r="L351" i="16" s="1"/>
  <c r="I351" i="16"/>
  <c r="L350" i="16"/>
  <c r="K350" i="16"/>
  <c r="I350" i="16"/>
  <c r="K349" i="16"/>
  <c r="L349" i="16" s="1"/>
  <c r="I349" i="16"/>
  <c r="K348" i="16"/>
  <c r="L348" i="16" s="1"/>
  <c r="I348" i="16"/>
  <c r="K347" i="16"/>
  <c r="L347" i="16" s="1"/>
  <c r="I347" i="16"/>
  <c r="L346" i="16"/>
  <c r="K346" i="16"/>
  <c r="I346" i="16"/>
  <c r="K345" i="16"/>
  <c r="L345" i="16" s="1"/>
  <c r="I345" i="16"/>
  <c r="K344" i="16"/>
  <c r="L344" i="16" s="1"/>
  <c r="I344" i="16"/>
  <c r="K343" i="16"/>
  <c r="L343" i="16" s="1"/>
  <c r="I343" i="16"/>
  <c r="L342" i="16"/>
  <c r="K342" i="16"/>
  <c r="I342" i="16"/>
  <c r="K341" i="16"/>
  <c r="L341" i="16" s="1"/>
  <c r="I341" i="16"/>
  <c r="K340" i="16"/>
  <c r="L340" i="16" s="1"/>
  <c r="I340" i="16"/>
  <c r="K339" i="16"/>
  <c r="L339" i="16" s="1"/>
  <c r="I339" i="16"/>
  <c r="K338" i="16"/>
  <c r="L338" i="16" s="1"/>
  <c r="I338" i="16"/>
  <c r="K337" i="16"/>
  <c r="L337" i="16" s="1"/>
  <c r="I337" i="16"/>
  <c r="J432" i="16"/>
  <c r="H432" i="16"/>
  <c r="F383" i="16"/>
  <c r="I383" i="16" s="1"/>
  <c r="F382" i="16"/>
  <c r="K382" i="16" s="1"/>
  <c r="F381" i="16"/>
  <c r="K381" i="16" s="1"/>
  <c r="F380" i="16"/>
  <c r="K380" i="16" s="1"/>
  <c r="F379" i="16"/>
  <c r="K379" i="16" s="1"/>
  <c r="F378" i="16"/>
  <c r="K378" i="16" s="1"/>
  <c r="F377" i="16"/>
  <c r="K377" i="16" s="1"/>
  <c r="F376" i="16"/>
  <c r="I376" i="16" s="1"/>
  <c r="F375" i="16"/>
  <c r="K375" i="16" s="1"/>
  <c r="F374" i="16"/>
  <c r="K374" i="16" s="1"/>
  <c r="F373" i="16"/>
  <c r="K373" i="16" s="1"/>
  <c r="F372" i="16"/>
  <c r="K372" i="16" s="1"/>
  <c r="F371" i="16"/>
  <c r="K371" i="16" s="1"/>
  <c r="F370" i="16"/>
  <c r="K370" i="16" s="1"/>
  <c r="F369" i="16"/>
  <c r="I369" i="16" s="1"/>
  <c r="F368" i="16"/>
  <c r="K368" i="16" s="1"/>
  <c r="F367" i="16"/>
  <c r="K367" i="16" s="1"/>
  <c r="F366" i="16"/>
  <c r="K366" i="16" s="1"/>
  <c r="F365" i="16"/>
  <c r="K365" i="16" s="1"/>
  <c r="F364" i="16"/>
  <c r="K364" i="16" s="1"/>
  <c r="F333" i="16"/>
  <c r="K333" i="16" s="1"/>
  <c r="F332" i="16"/>
  <c r="K332" i="16" s="1"/>
  <c r="F331" i="16"/>
  <c r="K331" i="16" s="1"/>
  <c r="F330" i="16"/>
  <c r="I330" i="16" s="1"/>
  <c r="F329" i="16"/>
  <c r="K329" i="16" s="1"/>
  <c r="F328" i="16"/>
  <c r="K328" i="16" s="1"/>
  <c r="F327" i="16"/>
  <c r="K327" i="16" s="1"/>
  <c r="F326" i="16"/>
  <c r="I326" i="16" s="1"/>
  <c r="F325" i="16"/>
  <c r="K325" i="16" s="1"/>
  <c r="F324" i="16"/>
  <c r="K324" i="16" s="1"/>
  <c r="F323" i="16"/>
  <c r="K323" i="16" s="1"/>
  <c r="F322" i="16"/>
  <c r="K322" i="16" s="1"/>
  <c r="F321" i="16"/>
  <c r="K321" i="16" s="1"/>
  <c r="F320" i="16"/>
  <c r="K320" i="16" s="1"/>
  <c r="F319" i="16"/>
  <c r="K319" i="16" s="1"/>
  <c r="F318" i="16"/>
  <c r="I318" i="16" s="1"/>
  <c r="F317" i="16"/>
  <c r="K317" i="16" s="1"/>
  <c r="F316" i="16"/>
  <c r="K316" i="16" s="1"/>
  <c r="F315" i="16"/>
  <c r="K315" i="16" s="1"/>
  <c r="F314" i="16"/>
  <c r="I314" i="16" s="1"/>
  <c r="F313" i="16"/>
  <c r="K313" i="16" s="1"/>
  <c r="F312" i="16"/>
  <c r="K312" i="16" s="1"/>
  <c r="F311" i="16"/>
  <c r="K311" i="16" s="1"/>
  <c r="F310" i="16"/>
  <c r="I310" i="16" s="1"/>
  <c r="F309" i="16"/>
  <c r="K309" i="16" s="1"/>
  <c r="F308" i="16"/>
  <c r="K308" i="16" s="1"/>
  <c r="F307" i="16"/>
  <c r="K307" i="16" s="1"/>
  <c r="F306" i="16"/>
  <c r="K306" i="16" s="1"/>
  <c r="J289" i="16"/>
  <c r="J290" i="16"/>
  <c r="H290" i="16"/>
  <c r="H289" i="16"/>
  <c r="J264" i="16"/>
  <c r="H264" i="16"/>
  <c r="J263" i="16"/>
  <c r="H263" i="16"/>
  <c r="H254" i="16"/>
  <c r="H265" i="16" s="1"/>
  <c r="J243" i="16"/>
  <c r="H243" i="16"/>
  <c r="J241" i="16"/>
  <c r="H241" i="16"/>
  <c r="J232" i="16"/>
  <c r="J254" i="16" s="1"/>
  <c r="J265" i="16" s="1"/>
  <c r="H232" i="16"/>
  <c r="J221" i="16"/>
  <c r="H221" i="16"/>
  <c r="J219" i="16"/>
  <c r="H219" i="16"/>
  <c r="J213" i="16"/>
  <c r="H213" i="16"/>
  <c r="J212" i="16"/>
  <c r="H212" i="16"/>
  <c r="J206" i="16"/>
  <c r="H206" i="16"/>
  <c r="J205" i="16"/>
  <c r="H205" i="16"/>
  <c r="J204" i="16"/>
  <c r="H204" i="16"/>
  <c r="J203" i="16"/>
  <c r="H203" i="16"/>
  <c r="J201" i="16"/>
  <c r="H201" i="16"/>
  <c r="J131" i="16"/>
  <c r="H131" i="16"/>
  <c r="J130" i="16"/>
  <c r="H130" i="16"/>
  <c r="J116" i="16"/>
  <c r="H116" i="16"/>
  <c r="H115" i="16"/>
  <c r="H114" i="16"/>
  <c r="H277" i="16" s="1"/>
  <c r="H113" i="16"/>
  <c r="H276" i="16" s="1"/>
  <c r="J102" i="16"/>
  <c r="J113" i="16" s="1"/>
  <c r="J276" i="16" s="1"/>
  <c r="J287" i="16" s="1"/>
  <c r="J103" i="16"/>
  <c r="J114" i="16" s="1"/>
  <c r="J277" i="16" s="1"/>
  <c r="J288" i="16" s="1"/>
  <c r="J104" i="16"/>
  <c r="J115" i="16" s="1"/>
  <c r="J105" i="16"/>
  <c r="H105" i="16"/>
  <c r="H104" i="16"/>
  <c r="H103" i="16"/>
  <c r="H102" i="16"/>
  <c r="J80" i="16"/>
  <c r="J129" i="16" s="1"/>
  <c r="H80" i="16"/>
  <c r="H129" i="16" s="1"/>
  <c r="J39" i="16"/>
  <c r="H39" i="16"/>
  <c r="J38" i="16"/>
  <c r="H38" i="16"/>
  <c r="H288" i="16" l="1"/>
  <c r="H287" i="16"/>
  <c r="I367" i="16"/>
  <c r="L367" i="16" s="1"/>
  <c r="I371" i="16"/>
  <c r="L371" i="16" s="1"/>
  <c r="I375" i="16"/>
  <c r="L375" i="16" s="1"/>
  <c r="I379" i="16"/>
  <c r="L379" i="16" s="1"/>
  <c r="K383" i="16"/>
  <c r="L383" i="16" s="1"/>
  <c r="I364" i="16"/>
  <c r="L364" i="16" s="1"/>
  <c r="I368" i="16"/>
  <c r="L368" i="16" s="1"/>
  <c r="I372" i="16"/>
  <c r="L372" i="16" s="1"/>
  <c r="I380" i="16"/>
  <c r="L380" i="16" s="1"/>
  <c r="K376" i="16"/>
  <c r="L376" i="16" s="1"/>
  <c r="I381" i="16"/>
  <c r="L381" i="16" s="1"/>
  <c r="K369" i="16"/>
  <c r="L369" i="16" s="1"/>
  <c r="I366" i="16"/>
  <c r="L366" i="16" s="1"/>
  <c r="I370" i="16"/>
  <c r="L370" i="16" s="1"/>
  <c r="I374" i="16"/>
  <c r="L374" i="16" s="1"/>
  <c r="I378" i="16"/>
  <c r="L378" i="16" s="1"/>
  <c r="I382" i="16"/>
  <c r="L382" i="16" s="1"/>
  <c r="I365" i="16"/>
  <c r="L365" i="16" s="1"/>
  <c r="I373" i="16"/>
  <c r="L373" i="16" s="1"/>
  <c r="I377" i="16"/>
  <c r="L377" i="16" s="1"/>
  <c r="L309" i="16"/>
  <c r="I322" i="16"/>
  <c r="L322" i="16" s="1"/>
  <c r="K314" i="16"/>
  <c r="L314" i="16" s="1"/>
  <c r="K318" i="16"/>
  <c r="L318" i="16" s="1"/>
  <c r="K326" i="16"/>
  <c r="L326" i="16" s="1"/>
  <c r="K330" i="16"/>
  <c r="L330" i="16" s="1"/>
  <c r="I307" i="16"/>
  <c r="L307" i="16" s="1"/>
  <c r="I311" i="16"/>
  <c r="L311" i="16" s="1"/>
  <c r="I315" i="16"/>
  <c r="L315" i="16" s="1"/>
  <c r="I319" i="16"/>
  <c r="L319" i="16" s="1"/>
  <c r="I323" i="16"/>
  <c r="L323" i="16" s="1"/>
  <c r="I327" i="16"/>
  <c r="L327" i="16" s="1"/>
  <c r="I331" i="16"/>
  <c r="L331" i="16" s="1"/>
  <c r="I306" i="16"/>
  <c r="L306" i="16" s="1"/>
  <c r="K310" i="16"/>
  <c r="L310" i="16" s="1"/>
  <c r="I308" i="16"/>
  <c r="L308" i="16" s="1"/>
  <c r="I312" i="16"/>
  <c r="L312" i="16" s="1"/>
  <c r="I316" i="16"/>
  <c r="L316" i="16" s="1"/>
  <c r="I320" i="16"/>
  <c r="L320" i="16" s="1"/>
  <c r="I324" i="16"/>
  <c r="L324" i="16" s="1"/>
  <c r="I328" i="16"/>
  <c r="L328" i="16" s="1"/>
  <c r="I332" i="16"/>
  <c r="L332" i="16" s="1"/>
  <c r="I309" i="16"/>
  <c r="I313" i="16"/>
  <c r="L313" i="16" s="1"/>
  <c r="I317" i="16"/>
  <c r="L317" i="16" s="1"/>
  <c r="I321" i="16"/>
  <c r="L321" i="16" s="1"/>
  <c r="I325" i="16"/>
  <c r="L325" i="16" s="1"/>
  <c r="I329" i="16"/>
  <c r="L329" i="16" s="1"/>
  <c r="I333" i="16"/>
  <c r="L333" i="16" s="1"/>
  <c r="N305" i="16" l="1"/>
  <c r="A15" i="16"/>
  <c r="A16" i="16"/>
  <c r="A17" i="16"/>
  <c r="A18" i="16"/>
  <c r="A19" i="16"/>
  <c r="A20" i="16"/>
  <c r="A21" i="16"/>
  <c r="A35" i="16"/>
  <c r="A36" i="16"/>
  <c r="A37" i="16"/>
  <c r="A46" i="16"/>
  <c r="A47" i="16"/>
  <c r="A48" i="16"/>
  <c r="A62" i="16"/>
  <c r="A63" i="16"/>
  <c r="A64" i="16"/>
  <c r="A77" i="16"/>
  <c r="A78" i="16"/>
  <c r="A79" i="16"/>
  <c r="A88" i="16"/>
  <c r="A89" i="16"/>
  <c r="A90" i="16"/>
  <c r="A99" i="16"/>
  <c r="A100" i="16"/>
  <c r="A101" i="16"/>
  <c r="A110" i="16"/>
  <c r="A111" i="16"/>
  <c r="A112" i="16"/>
  <c r="A126" i="16"/>
  <c r="A127" i="16"/>
  <c r="A128" i="16"/>
  <c r="A142" i="16"/>
  <c r="A143" i="16"/>
  <c r="A144" i="16"/>
  <c r="A145" i="16"/>
  <c r="A146" i="16"/>
  <c r="A155" i="16"/>
  <c r="A156" i="16"/>
  <c r="A157" i="16"/>
  <c r="A171" i="16"/>
  <c r="A172" i="16"/>
  <c r="A173" i="16"/>
  <c r="A182" i="16"/>
  <c r="A183" i="16"/>
  <c r="A184" i="16"/>
  <c r="A198" i="16"/>
  <c r="A199" i="16"/>
  <c r="A200" i="16"/>
  <c r="A214" i="16"/>
  <c r="A215" i="16"/>
  <c r="A216" i="16"/>
  <c r="A217" i="16"/>
  <c r="A218" i="16"/>
  <c r="A227" i="16"/>
  <c r="A228" i="16"/>
  <c r="A229" i="16"/>
  <c r="A238" i="16"/>
  <c r="A239" i="16"/>
  <c r="A240" i="16"/>
  <c r="A249" i="16"/>
  <c r="A250" i="16"/>
  <c r="A251" i="16"/>
  <c r="A260" i="16"/>
  <c r="A261" i="16"/>
  <c r="A262" i="16"/>
  <c r="A271" i="16"/>
  <c r="A272" i="16"/>
  <c r="A273" i="16"/>
  <c r="A274" i="16"/>
  <c r="A275" i="16"/>
  <c r="A284" i="16"/>
  <c r="A285" i="16"/>
  <c r="A286" i="16"/>
  <c r="A295" i="16"/>
  <c r="A296" i="16"/>
  <c r="A299" i="16"/>
  <c r="A300" i="16"/>
  <c r="A301" i="16"/>
  <c r="A302" i="16"/>
  <c r="A303" i="16"/>
  <c r="A304" i="16"/>
  <c r="A335" i="16"/>
  <c r="A336" i="16"/>
  <c r="A386" i="16"/>
  <c r="A387" i="16"/>
  <c r="A388" i="16"/>
  <c r="A389" i="16"/>
  <c r="A396" i="16"/>
  <c r="A397" i="16"/>
  <c r="A398" i="16"/>
  <c r="A399" i="16"/>
  <c r="A400" i="16"/>
  <c r="A401" i="16"/>
  <c r="A402" i="16"/>
  <c r="A414" i="16"/>
  <c r="A415" i="16"/>
  <c r="A416" i="16"/>
  <c r="A421" i="16"/>
  <c r="A422" i="16"/>
  <c r="A423" i="16"/>
  <c r="A440" i="16"/>
  <c r="F438" i="16"/>
  <c r="F395" i="16"/>
  <c r="F394" i="16"/>
  <c r="I394" i="16" s="1"/>
  <c r="F393" i="16"/>
  <c r="F392" i="16"/>
  <c r="F391" i="16"/>
  <c r="F390" i="16"/>
  <c r="I390" i="16" s="1"/>
  <c r="F385" i="16"/>
  <c r="F384" i="16"/>
  <c r="K384" i="16" s="1"/>
  <c r="N383" i="16"/>
  <c r="N382" i="16"/>
  <c r="N381" i="16"/>
  <c r="N380" i="16"/>
  <c r="N379" i="16"/>
  <c r="N378" i="16"/>
  <c r="N377" i="16"/>
  <c r="N376" i="16"/>
  <c r="N375" i="16"/>
  <c r="N374" i="16"/>
  <c r="N373" i="16"/>
  <c r="N372" i="16"/>
  <c r="N371" i="16"/>
  <c r="N370" i="16"/>
  <c r="N369" i="16"/>
  <c r="N368" i="16"/>
  <c r="N367" i="16"/>
  <c r="N366" i="16"/>
  <c r="N365" i="16"/>
  <c r="N364" i="16"/>
  <c r="F363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F350" i="16"/>
  <c r="F349" i="16"/>
  <c r="F348" i="16"/>
  <c r="F347" i="16"/>
  <c r="F346" i="16"/>
  <c r="F345" i="16"/>
  <c r="F344" i="16"/>
  <c r="F343" i="16"/>
  <c r="F342" i="16"/>
  <c r="F341" i="16"/>
  <c r="F340" i="16"/>
  <c r="F339" i="16"/>
  <c r="F338" i="16"/>
  <c r="F337" i="16"/>
  <c r="F334" i="16"/>
  <c r="K334" i="16" s="1"/>
  <c r="N333" i="16"/>
  <c r="N332" i="16"/>
  <c r="N331" i="16"/>
  <c r="N330" i="16"/>
  <c r="N329" i="16"/>
  <c r="N328" i="16"/>
  <c r="N327" i="16"/>
  <c r="N326" i="16"/>
  <c r="N325" i="16"/>
  <c r="N324" i="16"/>
  <c r="N323" i="16"/>
  <c r="N322" i="16"/>
  <c r="N321" i="16"/>
  <c r="N320" i="16"/>
  <c r="N319" i="16"/>
  <c r="N318" i="16"/>
  <c r="N317" i="16"/>
  <c r="N316" i="16"/>
  <c r="N315" i="16"/>
  <c r="N314" i="16"/>
  <c r="N313" i="16"/>
  <c r="N312" i="16"/>
  <c r="N311" i="16"/>
  <c r="N310" i="16"/>
  <c r="N309" i="16"/>
  <c r="N308" i="16"/>
  <c r="N307" i="16"/>
  <c r="N306" i="16"/>
  <c r="F305" i="16"/>
  <c r="K305" i="16" s="1"/>
  <c r="I438" i="16" l="1"/>
  <c r="K438" i="16"/>
  <c r="L438" i="16" s="1"/>
  <c r="I334" i="16"/>
  <c r="L334" i="16" s="1"/>
  <c r="I384" i="16"/>
  <c r="L384" i="16" s="1"/>
  <c r="I305" i="16"/>
  <c r="L305" i="16" s="1"/>
  <c r="K395" i="16"/>
  <c r="I395" i="16"/>
  <c r="K390" i="16"/>
  <c r="L390" i="16" s="1"/>
  <c r="K394" i="16"/>
  <c r="L394" i="16" s="1"/>
  <c r="L395" i="16" l="1"/>
  <c r="D257" i="16" l="1"/>
  <c r="D432" i="16"/>
  <c r="F432" i="16" s="1"/>
  <c r="K432" i="16" s="1"/>
  <c r="D433" i="16"/>
  <c r="D437" i="16"/>
  <c r="F437" i="16" s="1"/>
  <c r="F433" i="16"/>
  <c r="K433" i="16" s="1"/>
  <c r="D436" i="16"/>
  <c r="F436" i="16" s="1"/>
  <c r="D177" i="16"/>
  <c r="D179" i="16" s="1"/>
  <c r="F179" i="16" s="1"/>
  <c r="K179" i="16" s="1"/>
  <c r="L179" i="16" s="1"/>
  <c r="F413" i="16"/>
  <c r="K413" i="16" s="1"/>
  <c r="D427" i="16"/>
  <c r="F427" i="16" s="1"/>
  <c r="K427" i="16" s="1"/>
  <c r="L427" i="16" s="1"/>
  <c r="D428" i="16"/>
  <c r="F428" i="16" s="1"/>
  <c r="D426" i="16"/>
  <c r="F426" i="16" s="1"/>
  <c r="K426" i="16" s="1"/>
  <c r="L426" i="16" s="1"/>
  <c r="D425" i="16"/>
  <c r="F425" i="16" s="1"/>
  <c r="D439" i="16"/>
  <c r="F431" i="16"/>
  <c r="K431" i="16" s="1"/>
  <c r="F430" i="16"/>
  <c r="K430" i="16" s="1"/>
  <c r="F429" i="16"/>
  <c r="K429" i="16" s="1"/>
  <c r="D105" i="16"/>
  <c r="D108" i="16" s="1"/>
  <c r="F420" i="16"/>
  <c r="K420" i="16" s="1"/>
  <c r="D180" i="16" l="1"/>
  <c r="F180" i="16" s="1"/>
  <c r="K180" i="16" s="1"/>
  <c r="L180" i="16" s="1"/>
  <c r="D181" i="16"/>
  <c r="F181" i="16" s="1"/>
  <c r="K181" i="16" s="1"/>
  <c r="L181" i="16" s="1"/>
  <c r="D178" i="16"/>
  <c r="F178" i="16" s="1"/>
  <c r="K178" i="16" s="1"/>
  <c r="L178" i="16" s="1"/>
  <c r="K436" i="16"/>
  <c r="L436" i="16" s="1"/>
  <c r="K437" i="16"/>
  <c r="L437" i="16" s="1"/>
  <c r="I433" i="16"/>
  <c r="L433" i="16" s="1"/>
  <c r="D434" i="16"/>
  <c r="F434" i="16" s="1"/>
  <c r="D435" i="16"/>
  <c r="F435" i="16" s="1"/>
  <c r="I432" i="16"/>
  <c r="L432" i="16" s="1"/>
  <c r="I413" i="16"/>
  <c r="L413" i="16" s="1"/>
  <c r="K425" i="16"/>
  <c r="L425" i="16" s="1"/>
  <c r="K428" i="16"/>
  <c r="L428" i="16" s="1"/>
  <c r="D109" i="16"/>
  <c r="D106" i="16"/>
  <c r="D107" i="16"/>
  <c r="I430" i="16"/>
  <c r="L430" i="16" s="1"/>
  <c r="I431" i="16"/>
  <c r="L431" i="16" s="1"/>
  <c r="I429" i="16"/>
  <c r="L429" i="16" s="1"/>
  <c r="I420" i="16"/>
  <c r="L420" i="16" s="1"/>
  <c r="K435" i="16" l="1"/>
  <c r="L435" i="16" s="1"/>
  <c r="K434" i="16"/>
  <c r="L434" i="16" s="1"/>
  <c r="D193" i="16"/>
  <c r="D268" i="16"/>
  <c r="D265" i="16"/>
  <c r="F265" i="16" s="1"/>
  <c r="D264" i="16"/>
  <c r="D263" i="16"/>
  <c r="F263" i="16" s="1"/>
  <c r="F257" i="16"/>
  <c r="D256" i="16"/>
  <c r="F256" i="16" s="1"/>
  <c r="D243" i="16"/>
  <c r="F243" i="16" s="1"/>
  <c r="D239" i="16"/>
  <c r="D244" i="16" s="1"/>
  <c r="D236" i="16"/>
  <c r="D235" i="16"/>
  <c r="F235" i="16" s="1"/>
  <c r="D233" i="16"/>
  <c r="D232" i="16"/>
  <c r="F232" i="16" s="1"/>
  <c r="D231" i="16"/>
  <c r="F231" i="16" s="1"/>
  <c r="D230" i="16"/>
  <c r="F230" i="16" s="1"/>
  <c r="D267" i="16"/>
  <c r="F267" i="16" s="1"/>
  <c r="I267" i="16" s="1"/>
  <c r="D270" i="16"/>
  <c r="F270" i="16" s="1"/>
  <c r="I270" i="16" s="1"/>
  <c r="D254" i="16"/>
  <c r="F254" i="16" s="1"/>
  <c r="D253" i="16"/>
  <c r="F253" i="16" s="1"/>
  <c r="D252" i="16"/>
  <c r="F252" i="16" s="1"/>
  <c r="D259" i="16"/>
  <c r="F259" i="16" s="1"/>
  <c r="D234" i="16"/>
  <c r="F234" i="16" s="1"/>
  <c r="D237" i="16"/>
  <c r="F237" i="16" s="1"/>
  <c r="D217" i="16"/>
  <c r="D221" i="16"/>
  <c r="F221" i="16" s="1"/>
  <c r="K221" i="16" s="1"/>
  <c r="D94" i="16"/>
  <c r="D92" i="16"/>
  <c r="D91" i="16"/>
  <c r="D23" i="16"/>
  <c r="D22" i="16"/>
  <c r="D175" i="16"/>
  <c r="D174" i="16"/>
  <c r="D158" i="16"/>
  <c r="D159" i="16"/>
  <c r="D147" i="16"/>
  <c r="D148" i="16"/>
  <c r="D207" i="16"/>
  <c r="D202" i="16"/>
  <c r="D201" i="16"/>
  <c r="D204" i="16"/>
  <c r="F204" i="16" s="1"/>
  <c r="K204" i="16" s="1"/>
  <c r="D203" i="16"/>
  <c r="F203" i="16" s="1"/>
  <c r="I203" i="16" s="1"/>
  <c r="D141" i="16"/>
  <c r="F141" i="16" s="1"/>
  <c r="K141" i="16" s="1"/>
  <c r="D140" i="16"/>
  <c r="F140" i="16" s="1"/>
  <c r="K140" i="16" s="1"/>
  <c r="D135" i="16"/>
  <c r="D134" i="16"/>
  <c r="F134" i="16" s="1"/>
  <c r="D133" i="16"/>
  <c r="F133" i="16" s="1"/>
  <c r="K133" i="16" s="1"/>
  <c r="D132" i="16"/>
  <c r="F132" i="16" s="1"/>
  <c r="D131" i="16"/>
  <c r="F131" i="16" s="1"/>
  <c r="D130" i="16"/>
  <c r="F130" i="16" s="1"/>
  <c r="D129" i="16"/>
  <c r="F129" i="16" s="1"/>
  <c r="D213" i="16"/>
  <c r="D212" i="16"/>
  <c r="D206" i="16"/>
  <c r="D205" i="16"/>
  <c r="F205" i="16" s="1"/>
  <c r="I205" i="16" s="1"/>
  <c r="D225" i="16" l="1"/>
  <c r="F225" i="16" s="1"/>
  <c r="K225" i="16" s="1"/>
  <c r="D224" i="16"/>
  <c r="D223" i="16"/>
  <c r="K256" i="16"/>
  <c r="I256" i="16"/>
  <c r="K257" i="16"/>
  <c r="I257" i="16"/>
  <c r="K259" i="16"/>
  <c r="I259" i="16"/>
  <c r="D211" i="16"/>
  <c r="F211" i="16" s="1"/>
  <c r="D208" i="16"/>
  <c r="F208" i="16" s="1"/>
  <c r="D210" i="16"/>
  <c r="F210" i="16" s="1"/>
  <c r="D209" i="16"/>
  <c r="F209" i="16" s="1"/>
  <c r="D188" i="16"/>
  <c r="D191" i="16" s="1"/>
  <c r="F191" i="16" s="1"/>
  <c r="K191" i="16" s="1"/>
  <c r="L191" i="16" s="1"/>
  <c r="D197" i="16"/>
  <c r="F197" i="16" s="1"/>
  <c r="D195" i="16"/>
  <c r="F195" i="16" s="1"/>
  <c r="D194" i="16"/>
  <c r="F194" i="16" s="1"/>
  <c r="D196" i="16"/>
  <c r="F196" i="16" s="1"/>
  <c r="F207" i="16"/>
  <c r="K207" i="16" s="1"/>
  <c r="D98" i="16"/>
  <c r="F98" i="16" s="1"/>
  <c r="D95" i="16"/>
  <c r="F95" i="16" s="1"/>
  <c r="D97" i="16"/>
  <c r="F97" i="16" s="1"/>
  <c r="D96" i="16"/>
  <c r="F96" i="16" s="1"/>
  <c r="F135" i="16"/>
  <c r="K135" i="16" s="1"/>
  <c r="D137" i="16"/>
  <c r="F137" i="16" s="1"/>
  <c r="D138" i="16"/>
  <c r="F138" i="16" s="1"/>
  <c r="D136" i="16"/>
  <c r="F136" i="16" s="1"/>
  <c r="D139" i="16"/>
  <c r="F139" i="16" s="1"/>
  <c r="D220" i="16"/>
  <c r="F220" i="16" s="1"/>
  <c r="K220" i="16" s="1"/>
  <c r="D241" i="16"/>
  <c r="F241" i="16" s="1"/>
  <c r="K241" i="16" s="1"/>
  <c r="D247" i="16"/>
  <c r="F247" i="16" s="1"/>
  <c r="D219" i="16"/>
  <c r="F219" i="16" s="1"/>
  <c r="K219" i="16" s="1"/>
  <c r="D226" i="16"/>
  <c r="F226" i="16" s="1"/>
  <c r="K226" i="16" s="1"/>
  <c r="D242" i="16"/>
  <c r="F242" i="16" s="1"/>
  <c r="I242" i="16" s="1"/>
  <c r="D248" i="16"/>
  <c r="F248" i="16" s="1"/>
  <c r="K248" i="16" s="1"/>
  <c r="D246" i="16"/>
  <c r="F246" i="16" s="1"/>
  <c r="I246" i="16" s="1"/>
  <c r="F224" i="16"/>
  <c r="I224" i="16" s="1"/>
  <c r="F223" i="16"/>
  <c r="K223" i="16" s="1"/>
  <c r="D245" i="16"/>
  <c r="F245" i="16" s="1"/>
  <c r="K245" i="16" s="1"/>
  <c r="K263" i="16"/>
  <c r="I263" i="16"/>
  <c r="I265" i="16"/>
  <c r="K265" i="16"/>
  <c r="K270" i="16"/>
  <c r="K267" i="16"/>
  <c r="F264" i="16"/>
  <c r="F268" i="16"/>
  <c r="I268" i="16" s="1"/>
  <c r="D269" i="16"/>
  <c r="F269" i="16" s="1"/>
  <c r="I269" i="16" s="1"/>
  <c r="D266" i="16"/>
  <c r="F266" i="16" s="1"/>
  <c r="I266" i="16" s="1"/>
  <c r="K254" i="16"/>
  <c r="I254" i="16"/>
  <c r="I253" i="16"/>
  <c r="K253" i="16"/>
  <c r="K252" i="16"/>
  <c r="I252" i="16"/>
  <c r="D258" i="16"/>
  <c r="F258" i="16" s="1"/>
  <c r="D255" i="16"/>
  <c r="F255" i="16" s="1"/>
  <c r="I243" i="16"/>
  <c r="K243" i="16"/>
  <c r="F244" i="16"/>
  <c r="I231" i="16"/>
  <c r="K231" i="16"/>
  <c r="K234" i="16"/>
  <c r="I234" i="16"/>
  <c r="K232" i="16"/>
  <c r="I232" i="16"/>
  <c r="K237" i="16"/>
  <c r="I237" i="16"/>
  <c r="K230" i="16"/>
  <c r="I230" i="16"/>
  <c r="I235" i="16"/>
  <c r="K235" i="16"/>
  <c r="F236" i="16"/>
  <c r="F233" i="16"/>
  <c r="I225" i="16"/>
  <c r="L225" i="16" s="1"/>
  <c r="D222" i="16"/>
  <c r="F222" i="16" s="1"/>
  <c r="K222" i="16" s="1"/>
  <c r="I221" i="16"/>
  <c r="L221" i="16" s="1"/>
  <c r="K132" i="16"/>
  <c r="I132" i="16"/>
  <c r="I140" i="16"/>
  <c r="L140" i="16" s="1"/>
  <c r="K129" i="16"/>
  <c r="I129" i="16"/>
  <c r="K134" i="16"/>
  <c r="I134" i="16"/>
  <c r="I131" i="16"/>
  <c r="K131" i="16"/>
  <c r="K130" i="16"/>
  <c r="I130" i="16"/>
  <c r="I133" i="16"/>
  <c r="L133" i="16" s="1"/>
  <c r="I141" i="16"/>
  <c r="L141" i="16" s="1"/>
  <c r="I204" i="16"/>
  <c r="L204" i="16" s="1"/>
  <c r="K203" i="16"/>
  <c r="L203" i="16" s="1"/>
  <c r="K205" i="16"/>
  <c r="L205" i="16" s="1"/>
  <c r="D57" i="16"/>
  <c r="F212" i="16"/>
  <c r="F206" i="16"/>
  <c r="F202" i="16"/>
  <c r="I202" i="16" s="1"/>
  <c r="F201" i="16"/>
  <c r="D290" i="16"/>
  <c r="D289" i="16"/>
  <c r="F289" i="16" s="1"/>
  <c r="K289" i="16" s="1"/>
  <c r="D288" i="16"/>
  <c r="F288" i="16" s="1"/>
  <c r="D287" i="16"/>
  <c r="F287" i="16" s="1"/>
  <c r="D298" i="16"/>
  <c r="F298" i="16" s="1"/>
  <c r="K298" i="16" s="1"/>
  <c r="D297" i="16"/>
  <c r="F297" i="16" s="1"/>
  <c r="K297" i="16" s="1"/>
  <c r="D279" i="16"/>
  <c r="D278" i="16"/>
  <c r="F278" i="16" s="1"/>
  <c r="D277" i="16"/>
  <c r="F277" i="16" s="1"/>
  <c r="I277" i="16" s="1"/>
  <c r="D276" i="16"/>
  <c r="F276" i="16" s="1"/>
  <c r="I276" i="16" s="1"/>
  <c r="F439" i="16"/>
  <c r="K439" i="16" s="1"/>
  <c r="F419" i="16"/>
  <c r="K419" i="16" s="1"/>
  <c r="F418" i="16"/>
  <c r="K418" i="16" s="1"/>
  <c r="F417" i="16"/>
  <c r="K417" i="16" s="1"/>
  <c r="D407" i="16"/>
  <c r="F407" i="16" s="1"/>
  <c r="K407" i="16" s="1"/>
  <c r="D166" i="16"/>
  <c r="D72" i="16"/>
  <c r="D121" i="16"/>
  <c r="D30" i="16"/>
  <c r="D49" i="16"/>
  <c r="F49" i="16" s="1"/>
  <c r="D65" i="16"/>
  <c r="F65" i="16" s="1"/>
  <c r="F91" i="16"/>
  <c r="F424" i="16"/>
  <c r="I424" i="16" s="1"/>
  <c r="F412" i="16"/>
  <c r="K412" i="16" s="1"/>
  <c r="F411" i="16"/>
  <c r="K411" i="16" s="1"/>
  <c r="F410" i="16"/>
  <c r="K410" i="16" s="1"/>
  <c r="F409" i="16"/>
  <c r="K409" i="16" s="1"/>
  <c r="F406" i="16"/>
  <c r="K406" i="16" s="1"/>
  <c r="F405" i="16"/>
  <c r="K405" i="16" s="1"/>
  <c r="F404" i="16"/>
  <c r="K404" i="16" s="1"/>
  <c r="F403" i="16"/>
  <c r="K403" i="16" s="1"/>
  <c r="F408" i="16"/>
  <c r="K408" i="16" s="1"/>
  <c r="D187" i="16"/>
  <c r="F187" i="16" s="1"/>
  <c r="D186" i="16"/>
  <c r="F186" i="16" s="1"/>
  <c r="D185" i="16"/>
  <c r="F185" i="16" s="1"/>
  <c r="F177" i="16"/>
  <c r="K177" i="16" s="1"/>
  <c r="D176" i="16"/>
  <c r="F176" i="16" s="1"/>
  <c r="K176" i="16" s="1"/>
  <c r="F175" i="16"/>
  <c r="F174" i="16"/>
  <c r="I174" i="16" s="1"/>
  <c r="D160" i="16"/>
  <c r="F160" i="16" s="1"/>
  <c r="F159" i="16"/>
  <c r="F158" i="16"/>
  <c r="D150" i="16"/>
  <c r="D149" i="16"/>
  <c r="F149" i="16" s="1"/>
  <c r="F148" i="16"/>
  <c r="F147" i="16"/>
  <c r="D114" i="16"/>
  <c r="F114" i="16" s="1"/>
  <c r="D113" i="16"/>
  <c r="F113" i="16" s="1"/>
  <c r="D115" i="16"/>
  <c r="F115" i="16" s="1"/>
  <c r="D102" i="16"/>
  <c r="F102" i="16" s="1"/>
  <c r="D103" i="16"/>
  <c r="F103" i="16" s="1"/>
  <c r="D104" i="16"/>
  <c r="F104" i="16" s="1"/>
  <c r="K104" i="16" s="1"/>
  <c r="F94" i="16"/>
  <c r="K94" i="16" s="1"/>
  <c r="D93" i="16"/>
  <c r="F93" i="16" s="1"/>
  <c r="F92" i="16"/>
  <c r="D83" i="16"/>
  <c r="D82" i="16"/>
  <c r="F82" i="16" s="1"/>
  <c r="K82" i="16" s="1"/>
  <c r="D81" i="16"/>
  <c r="F81" i="16" s="1"/>
  <c r="D80" i="16"/>
  <c r="F80" i="16" s="1"/>
  <c r="D51" i="16"/>
  <c r="F51" i="16" s="1"/>
  <c r="K51" i="16" s="1"/>
  <c r="D50" i="16"/>
  <c r="F50" i="16" s="1"/>
  <c r="D66" i="16"/>
  <c r="F66" i="16" s="1"/>
  <c r="D41" i="16"/>
  <c r="D40" i="16"/>
  <c r="F40" i="16" s="1"/>
  <c r="K40" i="16" s="1"/>
  <c r="D39" i="16"/>
  <c r="F39" i="16" s="1"/>
  <c r="D38" i="16"/>
  <c r="F38" i="16" s="1"/>
  <c r="D24" i="16"/>
  <c r="F24" i="16" s="1"/>
  <c r="F23" i="16"/>
  <c r="F22" i="16"/>
  <c r="K22" i="16" s="1"/>
  <c r="K258" i="16" l="1"/>
  <c r="I258" i="16"/>
  <c r="I255" i="16"/>
  <c r="K255" i="16"/>
  <c r="K201" i="16"/>
  <c r="L201" i="16" s="1"/>
  <c r="I201" i="16"/>
  <c r="D190" i="16"/>
  <c r="F190" i="16" s="1"/>
  <c r="F188" i="16"/>
  <c r="I188" i="16" s="1"/>
  <c r="I135" i="16"/>
  <c r="L135" i="16" s="1"/>
  <c r="I207" i="16"/>
  <c r="L207" i="16" s="1"/>
  <c r="I92" i="16"/>
  <c r="K92" i="16"/>
  <c r="K93" i="16"/>
  <c r="I93" i="16"/>
  <c r="K91" i="16"/>
  <c r="I91" i="16"/>
  <c r="D192" i="16"/>
  <c r="F192" i="16" s="1"/>
  <c r="D189" i="16"/>
  <c r="F189" i="16" s="1"/>
  <c r="F279" i="16"/>
  <c r="K279" i="16" s="1"/>
  <c r="D282" i="16"/>
  <c r="F282" i="16" s="1"/>
  <c r="K282" i="16" s="1"/>
  <c r="L282" i="16" s="1"/>
  <c r="D283" i="16"/>
  <c r="F283" i="16" s="1"/>
  <c r="K283" i="16" s="1"/>
  <c r="L283" i="16" s="1"/>
  <c r="D280" i="16"/>
  <c r="F280" i="16" s="1"/>
  <c r="K280" i="16" s="1"/>
  <c r="L280" i="16" s="1"/>
  <c r="D281" i="16"/>
  <c r="F281" i="16" s="1"/>
  <c r="K281" i="16" s="1"/>
  <c r="L281" i="16" s="1"/>
  <c r="F290" i="16"/>
  <c r="K290" i="16" s="1"/>
  <c r="D294" i="16"/>
  <c r="F294" i="16" s="1"/>
  <c r="K294" i="16" s="1"/>
  <c r="L294" i="16" s="1"/>
  <c r="D293" i="16"/>
  <c r="F293" i="16" s="1"/>
  <c r="K293" i="16" s="1"/>
  <c r="L293" i="16" s="1"/>
  <c r="D292" i="16"/>
  <c r="F292" i="16" s="1"/>
  <c r="K292" i="16" s="1"/>
  <c r="L292" i="16" s="1"/>
  <c r="D291" i="16"/>
  <c r="F291" i="16" s="1"/>
  <c r="K291" i="16" s="1"/>
  <c r="L291" i="16" s="1"/>
  <c r="K194" i="16"/>
  <c r="L194" i="16" s="1"/>
  <c r="K195" i="16"/>
  <c r="L195" i="16" s="1"/>
  <c r="K197" i="16"/>
  <c r="L197" i="16" s="1"/>
  <c r="K196" i="16"/>
  <c r="L196" i="16" s="1"/>
  <c r="K138" i="16"/>
  <c r="L138" i="16" s="1"/>
  <c r="K192" i="16"/>
  <c r="L192" i="16" s="1"/>
  <c r="D116" i="16"/>
  <c r="D125" i="16"/>
  <c r="F125" i="16" s="1"/>
  <c r="D123" i="16"/>
  <c r="F123" i="16" s="1"/>
  <c r="D124" i="16"/>
  <c r="F124" i="16" s="1"/>
  <c r="K124" i="16" s="1"/>
  <c r="L124" i="16" s="1"/>
  <c r="D122" i="16"/>
  <c r="F122" i="16" s="1"/>
  <c r="K137" i="16"/>
  <c r="L137" i="16" s="1"/>
  <c r="K95" i="16"/>
  <c r="L95" i="16" s="1"/>
  <c r="K209" i="16"/>
  <c r="L209" i="16" s="1"/>
  <c r="K189" i="16"/>
  <c r="L189" i="16" s="1"/>
  <c r="K208" i="16"/>
  <c r="L208" i="16" s="1"/>
  <c r="F83" i="16"/>
  <c r="K83" i="16" s="1"/>
  <c r="D87" i="16"/>
  <c r="F87" i="16" s="1"/>
  <c r="D85" i="16"/>
  <c r="F85" i="16" s="1"/>
  <c r="D86" i="16"/>
  <c r="F86" i="16" s="1"/>
  <c r="K86" i="16" s="1"/>
  <c r="L86" i="16" s="1"/>
  <c r="D84" i="16"/>
  <c r="F84" i="16" s="1"/>
  <c r="F105" i="16"/>
  <c r="K105" i="16" s="1"/>
  <c r="F108" i="16"/>
  <c r="F106" i="16"/>
  <c r="F107" i="16"/>
  <c r="K107" i="16" s="1"/>
  <c r="L107" i="16" s="1"/>
  <c r="F109" i="16"/>
  <c r="K109" i="16" s="1"/>
  <c r="L109" i="16" s="1"/>
  <c r="D67" i="16"/>
  <c r="F67" i="16" s="1"/>
  <c r="I67" i="16" s="1"/>
  <c r="D75" i="16"/>
  <c r="F75" i="16" s="1"/>
  <c r="D74" i="16"/>
  <c r="F74" i="16" s="1"/>
  <c r="D73" i="16"/>
  <c r="F73" i="16" s="1"/>
  <c r="K73" i="16" s="1"/>
  <c r="L73" i="16" s="1"/>
  <c r="D76" i="16"/>
  <c r="F76" i="16" s="1"/>
  <c r="K139" i="16"/>
  <c r="L139" i="16" s="1"/>
  <c r="K98" i="16"/>
  <c r="L98" i="16" s="1"/>
  <c r="K211" i="16"/>
  <c r="L211" i="16" s="1"/>
  <c r="F150" i="16"/>
  <c r="K150" i="16" s="1"/>
  <c r="D154" i="16"/>
  <c r="F154" i="16" s="1"/>
  <c r="D152" i="16"/>
  <c r="F152" i="16" s="1"/>
  <c r="D151" i="16"/>
  <c r="F151" i="16" s="1"/>
  <c r="D153" i="16"/>
  <c r="F153" i="16" s="1"/>
  <c r="F57" i="16"/>
  <c r="K57" i="16" s="1"/>
  <c r="D61" i="16"/>
  <c r="F61" i="16" s="1"/>
  <c r="D59" i="16"/>
  <c r="F59" i="16" s="1"/>
  <c r="D58" i="16"/>
  <c r="F58" i="16" s="1"/>
  <c r="D60" i="16"/>
  <c r="F60" i="16" s="1"/>
  <c r="K60" i="16" s="1"/>
  <c r="L60" i="16" s="1"/>
  <c r="K97" i="16"/>
  <c r="L97" i="16" s="1"/>
  <c r="F41" i="16"/>
  <c r="K41" i="16" s="1"/>
  <c r="D43" i="16"/>
  <c r="F43" i="16" s="1"/>
  <c r="D44" i="16"/>
  <c r="F44" i="16" s="1"/>
  <c r="K44" i="16" s="1"/>
  <c r="L44" i="16" s="1"/>
  <c r="D45" i="16"/>
  <c r="F45" i="16" s="1"/>
  <c r="D42" i="16"/>
  <c r="F42" i="16" s="1"/>
  <c r="D161" i="16"/>
  <c r="F161" i="16" s="1"/>
  <c r="D169" i="16"/>
  <c r="F169" i="16" s="1"/>
  <c r="D170" i="16"/>
  <c r="F170" i="16" s="1"/>
  <c r="D168" i="16"/>
  <c r="F168" i="16" s="1"/>
  <c r="D167" i="16"/>
  <c r="F167" i="16" s="1"/>
  <c r="K136" i="16"/>
  <c r="L136" i="16" s="1"/>
  <c r="K96" i="16"/>
  <c r="L96" i="16" s="1"/>
  <c r="K210" i="16"/>
  <c r="L210" i="16" s="1"/>
  <c r="K190" i="16"/>
  <c r="L190" i="16" s="1"/>
  <c r="D25" i="16"/>
  <c r="D32" i="16"/>
  <c r="F32" i="16" s="1"/>
  <c r="D33" i="16"/>
  <c r="F33" i="16" s="1"/>
  <c r="D31" i="16"/>
  <c r="F31" i="16" s="1"/>
  <c r="D34" i="16"/>
  <c r="F34" i="16" s="1"/>
  <c r="K23" i="16"/>
  <c r="K24" i="16"/>
  <c r="I226" i="16"/>
  <c r="L226" i="16" s="1"/>
  <c r="K246" i="16"/>
  <c r="L246" i="16" s="1"/>
  <c r="I220" i="16"/>
  <c r="L220" i="16" s="1"/>
  <c r="K224" i="16"/>
  <c r="L224" i="16" s="1"/>
  <c r="I241" i="16"/>
  <c r="L241" i="16" s="1"/>
  <c r="I223" i="16"/>
  <c r="L223" i="16" s="1"/>
  <c r="L235" i="16"/>
  <c r="I248" i="16"/>
  <c r="L248" i="16" s="1"/>
  <c r="L231" i="16"/>
  <c r="I245" i="16"/>
  <c r="L245" i="16" s="1"/>
  <c r="L253" i="16"/>
  <c r="I219" i="16"/>
  <c r="L219" i="16" s="1"/>
  <c r="L243" i="16"/>
  <c r="L257" i="16"/>
  <c r="L265" i="16"/>
  <c r="K242" i="16"/>
  <c r="L242" i="16" s="1"/>
  <c r="I222" i="16"/>
  <c r="L222" i="16" s="1"/>
  <c r="L270" i="16"/>
  <c r="L263" i="16"/>
  <c r="K269" i="16"/>
  <c r="L267" i="16"/>
  <c r="K268" i="16"/>
  <c r="K266" i="16"/>
  <c r="I264" i="16"/>
  <c r="K264" i="16"/>
  <c r="L256" i="16"/>
  <c r="L259" i="16"/>
  <c r="L252" i="16"/>
  <c r="L254" i="16"/>
  <c r="K244" i="16"/>
  <c r="I244" i="16"/>
  <c r="K247" i="16"/>
  <c r="I247" i="16"/>
  <c r="L234" i="16"/>
  <c r="I233" i="16"/>
  <c r="K233" i="16"/>
  <c r="L237" i="16"/>
  <c r="K236" i="16"/>
  <c r="I236" i="16"/>
  <c r="L230" i="16"/>
  <c r="L232" i="16"/>
  <c r="L131" i="16"/>
  <c r="L130" i="16"/>
  <c r="L132" i="16"/>
  <c r="L134" i="16"/>
  <c r="L129" i="16"/>
  <c r="F213" i="16"/>
  <c r="K213" i="16" s="1"/>
  <c r="I212" i="16"/>
  <c r="K212" i="16"/>
  <c r="K202" i="16"/>
  <c r="I206" i="16"/>
  <c r="K206" i="16"/>
  <c r="I289" i="16"/>
  <c r="L289" i="16" s="1"/>
  <c r="I288" i="16"/>
  <c r="K288" i="16"/>
  <c r="K287" i="16"/>
  <c r="I287" i="16"/>
  <c r="I297" i="16"/>
  <c r="L297" i="16" s="1"/>
  <c r="I298" i="16"/>
  <c r="L298" i="16" s="1"/>
  <c r="K277" i="16"/>
  <c r="I278" i="16"/>
  <c r="K278" i="16"/>
  <c r="K276" i="16"/>
  <c r="I439" i="16"/>
  <c r="L439" i="16" s="1"/>
  <c r="I418" i="16"/>
  <c r="L418" i="16" s="1"/>
  <c r="I419" i="16"/>
  <c r="L419" i="16" s="1"/>
  <c r="I417" i="16"/>
  <c r="L417" i="16" s="1"/>
  <c r="F193" i="16"/>
  <c r="K193" i="16" s="1"/>
  <c r="K188" i="16"/>
  <c r="F166" i="16"/>
  <c r="K166" i="16" s="1"/>
  <c r="F72" i="16"/>
  <c r="K72" i="16" s="1"/>
  <c r="D52" i="16"/>
  <c r="F30" i="16"/>
  <c r="K424" i="16"/>
  <c r="L424" i="16" s="1"/>
  <c r="I412" i="16"/>
  <c r="L412" i="16" s="1"/>
  <c r="I411" i="16"/>
  <c r="L411" i="16" s="1"/>
  <c r="I410" i="16"/>
  <c r="L410" i="16" s="1"/>
  <c r="I408" i="16"/>
  <c r="L408" i="16" s="1"/>
  <c r="I403" i="16"/>
  <c r="L403" i="16" s="1"/>
  <c r="I404" i="16"/>
  <c r="L404" i="16" s="1"/>
  <c r="I405" i="16"/>
  <c r="L405" i="16" s="1"/>
  <c r="I406" i="16"/>
  <c r="L406" i="16" s="1"/>
  <c r="I407" i="16"/>
  <c r="L407" i="16" s="1"/>
  <c r="I409" i="16"/>
  <c r="L409" i="16" s="1"/>
  <c r="K149" i="16"/>
  <c r="I149" i="16"/>
  <c r="K160" i="16"/>
  <c r="I160" i="16"/>
  <c r="I187" i="16"/>
  <c r="K187" i="16"/>
  <c r="I51" i="16"/>
  <c r="L51" i="16" s="1"/>
  <c r="I176" i="16"/>
  <c r="L176" i="16" s="1"/>
  <c r="K185" i="16"/>
  <c r="I185" i="16"/>
  <c r="I186" i="16"/>
  <c r="K186" i="16"/>
  <c r="K174" i="16"/>
  <c r="I175" i="16"/>
  <c r="K175" i="16"/>
  <c r="I177" i="16"/>
  <c r="L177" i="16" s="1"/>
  <c r="I159" i="16"/>
  <c r="K159" i="16"/>
  <c r="K158" i="16"/>
  <c r="I158" i="16"/>
  <c r="I148" i="16"/>
  <c r="K148" i="16"/>
  <c r="K147" i="16"/>
  <c r="I147" i="16"/>
  <c r="K115" i="16"/>
  <c r="I115" i="16"/>
  <c r="I82" i="16"/>
  <c r="L82" i="16" s="1"/>
  <c r="I40" i="16"/>
  <c r="L40" i="16" s="1"/>
  <c r="I114" i="16"/>
  <c r="K114" i="16"/>
  <c r="K113" i="16"/>
  <c r="I113" i="16"/>
  <c r="I104" i="16"/>
  <c r="L104" i="16" s="1"/>
  <c r="I103" i="16"/>
  <c r="K103" i="16"/>
  <c r="K102" i="16"/>
  <c r="I102" i="16"/>
  <c r="I94" i="16"/>
  <c r="L94" i="16" s="1"/>
  <c r="I81" i="16"/>
  <c r="K81" i="16"/>
  <c r="K80" i="16"/>
  <c r="I80" i="16"/>
  <c r="I66" i="16"/>
  <c r="K66" i="16"/>
  <c r="K65" i="16"/>
  <c r="I65" i="16"/>
  <c r="I50" i="16"/>
  <c r="K50" i="16"/>
  <c r="K49" i="16"/>
  <c r="I49" i="16"/>
  <c r="I39" i="16"/>
  <c r="K39" i="16"/>
  <c r="K38" i="16"/>
  <c r="I38" i="16"/>
  <c r="I24" i="16"/>
  <c r="I23" i="16"/>
  <c r="I22" i="16"/>
  <c r="H3" i="16"/>
  <c r="I279" i="16" l="1"/>
  <c r="I290" i="16"/>
  <c r="L290" i="16"/>
  <c r="I105" i="16"/>
  <c r="L105" i="16" s="1"/>
  <c r="M397" i="16"/>
  <c r="K32" i="16"/>
  <c r="L32" i="16" s="1"/>
  <c r="I41" i="16"/>
  <c r="L41" i="16" s="1"/>
  <c r="K34" i="16"/>
  <c r="L34" i="16" s="1"/>
  <c r="L23" i="16"/>
  <c r="I150" i="16"/>
  <c r="L150" i="16" s="1"/>
  <c r="D29" i="16"/>
  <c r="F29" i="16" s="1"/>
  <c r="D28" i="16"/>
  <c r="F28" i="16" s="1"/>
  <c r="D27" i="16"/>
  <c r="F27" i="16" s="1"/>
  <c r="D26" i="16"/>
  <c r="F26" i="16" s="1"/>
  <c r="I57" i="16"/>
  <c r="L57" i="16" s="1"/>
  <c r="F25" i="16"/>
  <c r="K167" i="16"/>
  <c r="L167" i="16" s="1"/>
  <c r="D165" i="16"/>
  <c r="F165" i="16" s="1"/>
  <c r="D163" i="16"/>
  <c r="F163" i="16" s="1"/>
  <c r="D162" i="16"/>
  <c r="F162" i="16" s="1"/>
  <c r="D164" i="16"/>
  <c r="F164" i="16" s="1"/>
  <c r="K164" i="16" s="1"/>
  <c r="L164" i="16" s="1"/>
  <c r="K43" i="16"/>
  <c r="L43" i="16" s="1"/>
  <c r="K154" i="16"/>
  <c r="L154" i="16" s="1"/>
  <c r="K76" i="16"/>
  <c r="L76" i="16" s="1"/>
  <c r="D69" i="16"/>
  <c r="F69" i="16" s="1"/>
  <c r="D70" i="16"/>
  <c r="F70" i="16" s="1"/>
  <c r="D68" i="16"/>
  <c r="F68" i="16" s="1"/>
  <c r="D71" i="16"/>
  <c r="F71" i="16" s="1"/>
  <c r="K108" i="16"/>
  <c r="L108" i="16" s="1"/>
  <c r="K85" i="16"/>
  <c r="L85" i="16" s="1"/>
  <c r="K125" i="16"/>
  <c r="L125" i="16" s="1"/>
  <c r="K170" i="16"/>
  <c r="L170" i="16" s="1"/>
  <c r="K45" i="16"/>
  <c r="L45" i="16" s="1"/>
  <c r="K59" i="16"/>
  <c r="L59" i="16" s="1"/>
  <c r="K151" i="16"/>
  <c r="L151" i="16" s="1"/>
  <c r="K74" i="16"/>
  <c r="L74" i="16" s="1"/>
  <c r="K84" i="16"/>
  <c r="L84" i="16" s="1"/>
  <c r="F52" i="16"/>
  <c r="K52" i="16" s="1"/>
  <c r="D54" i="16"/>
  <c r="F54" i="16" s="1"/>
  <c r="D55" i="16"/>
  <c r="F55" i="16" s="1"/>
  <c r="D53" i="16"/>
  <c r="F53" i="16" s="1"/>
  <c r="D56" i="16"/>
  <c r="F56" i="16" s="1"/>
  <c r="K56" i="16" s="1"/>
  <c r="L56" i="16" s="1"/>
  <c r="K169" i="16"/>
  <c r="L169" i="16" s="1"/>
  <c r="K61" i="16"/>
  <c r="L61" i="16" s="1"/>
  <c r="K152" i="16"/>
  <c r="L152" i="16" s="1"/>
  <c r="K75" i="16"/>
  <c r="L75" i="16" s="1"/>
  <c r="K106" i="16"/>
  <c r="L106" i="16" s="1"/>
  <c r="K123" i="16"/>
  <c r="L123" i="16" s="1"/>
  <c r="I83" i="16"/>
  <c r="L83" i="16" s="1"/>
  <c r="K168" i="16"/>
  <c r="L168" i="16" s="1"/>
  <c r="K42" i="16"/>
  <c r="L42" i="16" s="1"/>
  <c r="K58" i="16"/>
  <c r="L58" i="16" s="1"/>
  <c r="K153" i="16"/>
  <c r="L153" i="16" s="1"/>
  <c r="K87" i="16"/>
  <c r="L87" i="16" s="1"/>
  <c r="K122" i="16"/>
  <c r="L122" i="16" s="1"/>
  <c r="D118" i="16"/>
  <c r="F118" i="16" s="1"/>
  <c r="K118" i="16" s="1"/>
  <c r="L118" i="16" s="1"/>
  <c r="D119" i="16"/>
  <c r="F119" i="16" s="1"/>
  <c r="D117" i="16"/>
  <c r="F117" i="16" s="1"/>
  <c r="D120" i="16"/>
  <c r="F120" i="16" s="1"/>
  <c r="K120" i="16" s="1"/>
  <c r="L120" i="16" s="1"/>
  <c r="K31" i="16"/>
  <c r="L31" i="16" s="1"/>
  <c r="K33" i="16"/>
  <c r="L33" i="16" s="1"/>
  <c r="L24" i="16"/>
  <c r="I30" i="16"/>
  <c r="I213" i="16"/>
  <c r="L213" i="16" s="1"/>
  <c r="L22" i="16"/>
  <c r="L288" i="16"/>
  <c r="L269" i="16"/>
  <c r="L233" i="16"/>
  <c r="L255" i="16"/>
  <c r="L266" i="16"/>
  <c r="L264" i="16"/>
  <c r="L268" i="16"/>
  <c r="L258" i="16"/>
  <c r="L244" i="16"/>
  <c r="L247" i="16"/>
  <c r="L236" i="16"/>
  <c r="L206" i="16"/>
  <c r="L212" i="16"/>
  <c r="L202" i="16"/>
  <c r="L278" i="16"/>
  <c r="L279" i="16"/>
  <c r="L287" i="16"/>
  <c r="L276" i="16"/>
  <c r="L277" i="16"/>
  <c r="K161" i="16"/>
  <c r="I161" i="16"/>
  <c r="K67" i="16"/>
  <c r="L67" i="16" s="1"/>
  <c r="I166" i="16"/>
  <c r="L166" i="16" s="1"/>
  <c r="I193" i="16"/>
  <c r="L193" i="16" s="1"/>
  <c r="L188" i="16"/>
  <c r="F116" i="16"/>
  <c r="F121" i="16"/>
  <c r="I72" i="16"/>
  <c r="L72" i="16" s="1"/>
  <c r="K30" i="16"/>
  <c r="L187" i="16"/>
  <c r="L39" i="16"/>
  <c r="L50" i="16"/>
  <c r="L103" i="16"/>
  <c r="L148" i="16"/>
  <c r="L175" i="16"/>
  <c r="L160" i="16"/>
  <c r="L159" i="16"/>
  <c r="L186" i="16"/>
  <c r="L149" i="16"/>
  <c r="L185" i="16"/>
  <c r="L174" i="16"/>
  <c r="L158" i="16"/>
  <c r="L147" i="16"/>
  <c r="L93" i="16"/>
  <c r="L66" i="16"/>
  <c r="L81" i="16"/>
  <c r="L114" i="16"/>
  <c r="L115" i="16"/>
  <c r="L113" i="16"/>
  <c r="L102" i="16"/>
  <c r="L91" i="16"/>
  <c r="L92" i="16"/>
  <c r="L80" i="16"/>
  <c r="L65" i="16"/>
  <c r="L49" i="16"/>
  <c r="L38" i="16"/>
  <c r="K25" i="16" l="1"/>
  <c r="K29" i="16"/>
  <c r="L29" i="16" s="1"/>
  <c r="K26" i="16"/>
  <c r="L26" i="16" s="1"/>
  <c r="K27" i="16"/>
  <c r="L27" i="16" s="1"/>
  <c r="I25" i="16"/>
  <c r="K28" i="16"/>
  <c r="L28" i="16" s="1"/>
  <c r="I52" i="16"/>
  <c r="L52" i="16" s="1"/>
  <c r="L30" i="16"/>
  <c r="K54" i="16"/>
  <c r="L54" i="16" s="1"/>
  <c r="K163" i="16"/>
  <c r="L163" i="16" s="1"/>
  <c r="K53" i="16"/>
  <c r="L53" i="16" s="1"/>
  <c r="K70" i="16"/>
  <c r="L70" i="16" s="1"/>
  <c r="K117" i="16"/>
  <c r="L117" i="16" s="1"/>
  <c r="K71" i="16"/>
  <c r="L71" i="16" s="1"/>
  <c r="K119" i="16"/>
  <c r="L119" i="16" s="1"/>
  <c r="K68" i="16"/>
  <c r="L68" i="16" s="1"/>
  <c r="K165" i="16"/>
  <c r="L165" i="16" s="1"/>
  <c r="K55" i="16"/>
  <c r="L55" i="16" s="1"/>
  <c r="K69" i="16"/>
  <c r="L69" i="16" s="1"/>
  <c r="K162" i="16"/>
  <c r="L162" i="16" s="1"/>
  <c r="L161" i="16"/>
  <c r="K121" i="16"/>
  <c r="I121" i="16"/>
  <c r="I116" i="16"/>
  <c r="K116" i="16"/>
  <c r="F14" i="16"/>
  <c r="F13" i="16"/>
  <c r="F12" i="16"/>
  <c r="I12" i="16" s="1"/>
  <c r="F11" i="16"/>
  <c r="F10" i="16"/>
  <c r="F9" i="16"/>
  <c r="F8" i="16"/>
  <c r="L25" i="16" l="1"/>
  <c r="L121" i="16"/>
  <c r="L116" i="16"/>
  <c r="M16" i="16" s="1"/>
  <c r="I8" i="16"/>
  <c r="K10" i="16"/>
  <c r="I11" i="16"/>
  <c r="K11" i="16"/>
  <c r="I14" i="16"/>
  <c r="K14" i="16"/>
  <c r="K8" i="16"/>
  <c r="I9" i="16"/>
  <c r="K12" i="16"/>
  <c r="L12" i="16" s="1"/>
  <c r="I13" i="16"/>
  <c r="K9" i="16"/>
  <c r="I10" i="16"/>
  <c r="K13" i="16"/>
  <c r="L10" i="16" l="1"/>
  <c r="L8" i="16"/>
  <c r="L11" i="16"/>
  <c r="L14" i="16"/>
  <c r="L13" i="16"/>
  <c r="L9" i="16"/>
  <c r="F7" i="16" l="1"/>
  <c r="A7" i="16" s="1"/>
  <c r="A8" i="16" l="1"/>
  <c r="I7" i="16"/>
  <c r="I441" i="16" s="1"/>
  <c r="K7" i="16"/>
  <c r="K441" i="16" s="1"/>
  <c r="A9" i="16" l="1"/>
  <c r="K444" i="16"/>
  <c r="K443" i="16"/>
  <c r="K442" i="16"/>
  <c r="I444" i="16"/>
  <c r="L441" i="16"/>
  <c r="I443" i="16"/>
  <c r="I442" i="16"/>
  <c r="L7" i="16"/>
  <c r="M5" i="16" s="1"/>
  <c r="M441" i="16" s="1"/>
  <c r="A10" i="16" l="1"/>
  <c r="I446" i="16"/>
  <c r="M444" i="16"/>
  <c r="M443" i="16"/>
  <c r="L444" i="16"/>
  <c r="L443" i="16"/>
  <c r="L442" i="16"/>
  <c r="K446" i="16"/>
  <c r="A11" i="16" l="1"/>
  <c r="M442" i="16"/>
  <c r="A12" i="16" l="1"/>
  <c r="L446" i="16"/>
  <c r="M446" i="16"/>
  <c r="A13" i="16" l="1"/>
  <c r="A14" i="16" l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8" i="16" s="1"/>
  <c r="A39" i="16" s="1"/>
  <c r="A40" i="16" s="1"/>
  <c r="A41" i="16" s="1"/>
  <c r="A42" i="16" s="1"/>
  <c r="A43" i="16" s="1"/>
  <c r="A44" i="16" s="1"/>
  <c r="A45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80" i="16" s="1"/>
  <c r="A81" i="16" s="1"/>
  <c r="A82" i="16" s="1"/>
  <c r="A83" i="16" s="1"/>
  <c r="A84" i="16" s="1"/>
  <c r="A85" i="16" s="1"/>
  <c r="A86" i="16" s="1"/>
  <c r="A87" i="16" s="1"/>
  <c r="A91" i="16" s="1"/>
  <c r="A92" i="16" s="1"/>
  <c r="A93" i="16" s="1"/>
  <c r="A94" i="16" s="1"/>
  <c r="A95" i="16" s="1"/>
  <c r="A96" i="16" s="1"/>
  <c r="A97" i="16" s="1"/>
  <c r="A98" i="16" s="1"/>
  <c r="A102" i="16" s="1"/>
  <c r="A103" i="16" s="1"/>
  <c r="A104" i="16" s="1"/>
  <c r="A105" i="16" s="1"/>
  <c r="A106" i="16" s="1"/>
  <c r="A107" i="16" s="1"/>
  <c r="A108" i="16" s="1"/>
  <c r="A109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7" i="16" s="1"/>
  <c r="A148" i="16" s="1"/>
  <c r="A149" i="16" s="1"/>
  <c r="A150" i="16" s="1"/>
  <c r="A151" i="16" s="1"/>
  <c r="A152" i="16" s="1"/>
  <c r="A153" i="16" s="1"/>
  <c r="A154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4" i="16" s="1"/>
  <c r="A175" i="16" s="1"/>
  <c r="A176" i="16" s="1"/>
  <c r="A177" i="16" s="1"/>
  <c r="A178" i="16" s="1"/>
  <c r="A179" i="16" s="1"/>
  <c r="A180" i="16" s="1"/>
  <c r="A181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9" i="16" s="1"/>
  <c r="A220" i="16" s="1"/>
  <c r="A221" i="16" s="1"/>
  <c r="A222" i="16" s="1"/>
  <c r="A223" i="16" s="1"/>
  <c r="A224" i="16" s="1"/>
  <c r="A225" i="16" s="1"/>
  <c r="A226" i="16" s="1"/>
  <c r="A230" i="16" s="1"/>
  <c r="A231" i="16" s="1"/>
  <c r="A232" i="16" s="1"/>
  <c r="A233" i="16" s="1"/>
  <c r="A234" i="16" s="1"/>
  <c r="A235" i="16" s="1"/>
  <c r="A236" i="16" s="1"/>
  <c r="A237" i="16" s="1"/>
  <c r="A241" i="16" s="1"/>
  <c r="A242" i="16" s="1"/>
  <c r="A243" i="16" s="1"/>
  <c r="A244" i="16" s="1"/>
  <c r="A245" i="16" s="1"/>
  <c r="A246" i="16" s="1"/>
  <c r="A247" i="16" s="1"/>
  <c r="A248" i="16" s="1"/>
  <c r="A252" i="16" s="1"/>
  <c r="A253" i="16" s="1"/>
  <c r="A254" i="16" s="1"/>
  <c r="A255" i="16" s="1"/>
  <c r="A256" i="16" s="1"/>
  <c r="A257" i="16" s="1"/>
  <c r="A258" i="16" s="1"/>
  <c r="A259" i="16" s="1"/>
  <c r="A263" i="16" s="1"/>
  <c r="A264" i="16" s="1"/>
  <c r="A265" i="16" s="1"/>
  <c r="A266" i="16" s="1"/>
  <c r="A267" i="16" s="1"/>
  <c r="A268" i="16" s="1"/>
  <c r="A269" i="16" s="1"/>
  <c r="A270" i="16" s="1"/>
  <c r="A276" i="16" s="1"/>
  <c r="A277" i="16" s="1"/>
  <c r="A278" i="16" s="1"/>
  <c r="A279" i="16" s="1"/>
  <c r="A280" i="16" s="1"/>
  <c r="A281" i="16" s="1"/>
  <c r="A282" i="16" s="1"/>
  <c r="A283" i="16" s="1"/>
  <c r="A287" i="16" s="1"/>
  <c r="A288" i="16" s="1"/>
  <c r="A289" i="16" s="1"/>
  <c r="A290" i="16" s="1"/>
  <c r="A291" i="16" s="1"/>
  <c r="A292" i="16" s="1"/>
  <c r="A293" i="16" s="1"/>
  <c r="A294" i="16" s="1"/>
  <c r="A297" i="16" s="1"/>
  <c r="A298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90" i="16" s="1"/>
  <c r="A391" i="16" s="1"/>
  <c r="A392" i="16" s="1"/>
  <c r="A393" i="16" s="1"/>
  <c r="A394" i="16" s="1"/>
  <c r="A395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7" i="16" s="1"/>
  <c r="A418" i="16" s="1"/>
  <c r="A419" i="16" s="1"/>
  <c r="A420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</calcChain>
</file>

<file path=xl/sharedStrings.xml><?xml version="1.0" encoding="utf-8"?>
<sst xmlns="http://schemas.openxmlformats.org/spreadsheetml/2006/main" count="806" uniqueCount="198">
  <si>
    <t>DESCRIPTION</t>
  </si>
  <si>
    <t>SUB TOTAL</t>
  </si>
  <si>
    <t>SR #</t>
  </si>
  <si>
    <t>QUANTITY</t>
  </si>
  <si>
    <t>QTY WITH
WASTAGE</t>
  </si>
  <si>
    <t>UNIT OF
MEASURMENT</t>
  </si>
  <si>
    <t>TOTAL TRADE
COST</t>
  </si>
  <si>
    <t>TOTAL BID</t>
  </si>
  <si>
    <t>CSI SECT</t>
  </si>
  <si>
    <t>PROJECT:</t>
  </si>
  <si>
    <t>DIV.01</t>
  </si>
  <si>
    <t>GENERAL CONDITIONS</t>
  </si>
  <si>
    <t>LS</t>
  </si>
  <si>
    <t>DIV. 05</t>
  </si>
  <si>
    <t>METALS</t>
  </si>
  <si>
    <t>FINISHES</t>
  </si>
  <si>
    <t>DIV. 09</t>
  </si>
  <si>
    <t>TOTAL LABOR COST</t>
  </si>
  <si>
    <t>UNIT LABOR
 COST</t>
  </si>
  <si>
    <t>UNIT MATERIAL
 COST</t>
  </si>
  <si>
    <t>TOTAL MATERIAL
COST</t>
  </si>
  <si>
    <t>TOTAL ITEM COST</t>
  </si>
  <si>
    <t>Permit</t>
  </si>
  <si>
    <t>Supervision</t>
  </si>
  <si>
    <t>Final Cleanup</t>
  </si>
  <si>
    <t>Mobilization Cost</t>
  </si>
  <si>
    <t>Bonds</t>
  </si>
  <si>
    <t>Fees (Architect &amp; Engineer)</t>
  </si>
  <si>
    <t>Temporary Control &amp; Facilities</t>
  </si>
  <si>
    <t>Projects Overheads</t>
  </si>
  <si>
    <t>INSURANCE</t>
  </si>
  <si>
    <t>CONTIGENCY</t>
  </si>
  <si>
    <t>OVERHEAD &amp; PROFIT</t>
  </si>
  <si>
    <t>LOCATION:</t>
  </si>
  <si>
    <t>DATE:</t>
  </si>
  <si>
    <t>1st Floor</t>
  </si>
  <si>
    <t>Wall Type 1A</t>
  </si>
  <si>
    <t>Wall Type 2A</t>
  </si>
  <si>
    <t>Wall Type 2B</t>
  </si>
  <si>
    <t>Wall Type 2C</t>
  </si>
  <si>
    <t>Wall Type 3A</t>
  </si>
  <si>
    <t>Wall Type 3B</t>
  </si>
  <si>
    <t>2nd Floor</t>
  </si>
  <si>
    <t>EIFS</t>
  </si>
  <si>
    <t>Black Spandrel Glass</t>
  </si>
  <si>
    <t>EA</t>
  </si>
  <si>
    <t>Ceiling</t>
  </si>
  <si>
    <t xml:space="preserve">Porsche Beachwood </t>
  </si>
  <si>
    <t>3750 Orange Place Beachwood, OH 44122</t>
  </si>
  <si>
    <t xml:space="preserve">Height </t>
  </si>
  <si>
    <t xml:space="preserve">3-5/8" 18 Gauge Metal Studs x 14' High </t>
  </si>
  <si>
    <t xml:space="preserve">3-5/8" 18 Gauge Metal Runners x 10' High </t>
  </si>
  <si>
    <t xml:space="preserve">Sound Atteunation Blanket </t>
  </si>
  <si>
    <t xml:space="preserve">5/8" Gypsum Board </t>
  </si>
  <si>
    <t>SF</t>
  </si>
  <si>
    <t>LF</t>
  </si>
  <si>
    <t xml:space="preserve">6" 18 Gauge Metal Studs x 14' High </t>
  </si>
  <si>
    <t>Wall Type 1B</t>
  </si>
  <si>
    <t xml:space="preserve">8" 18 Gauge Metal Studs x 14' High </t>
  </si>
  <si>
    <t>Wall Type 2D (1 Hour Fire-Resistance rated Fire Barrier)</t>
  </si>
  <si>
    <t xml:space="preserve">5/8" Green Board </t>
  </si>
  <si>
    <t xml:space="preserve">6" 18 Gauge Metal Studs x 10' High </t>
  </si>
  <si>
    <t xml:space="preserve">3-5/8" 18 Gauge Metal Studs x 10' High </t>
  </si>
  <si>
    <t xml:space="preserve">3-5/8" 18 Gauge Metal Runners x 10' Long </t>
  </si>
  <si>
    <t>6" 18 Gauge Metal Runners x 10' Long</t>
  </si>
  <si>
    <t>3-5/8" 18 Gauge Metal Runners x 10' Long</t>
  </si>
  <si>
    <t>8" 18 Gauge Metal Runners x 10' Long</t>
  </si>
  <si>
    <t xml:space="preserve">SF-1: Clerestory Glazing  - KAWNEER </t>
  </si>
  <si>
    <t>CP-1: Composite Metal Panels - SOBOTEC</t>
  </si>
  <si>
    <t xml:space="preserve">MP-1: Corrugated Metal Panels - CENTRIA </t>
  </si>
  <si>
    <t>CW-2: Curtainwall Glazing - KAWNEER</t>
  </si>
  <si>
    <t xml:space="preserve">CW1: Frameless Curtainwall Glazing - Old Castle </t>
  </si>
  <si>
    <t xml:space="preserve">MC-2: Metal Coping w/Hemmed Drip Edge </t>
  </si>
  <si>
    <t>Brand Signage of Porsche</t>
  </si>
  <si>
    <t>EP-2: Elastomeric Paint - Sherwin Williams( on Door and its frame)</t>
  </si>
  <si>
    <t>Sales Building</t>
  </si>
  <si>
    <t xml:space="preserve">FG-1: Exterior Glazing - Old Castle </t>
  </si>
  <si>
    <t>EP-1: Exterior Paint - Sherwin Williams</t>
  </si>
  <si>
    <t>Main Building</t>
  </si>
  <si>
    <t xml:space="preserve">P-1: Paint - Sherwin Williams(Painted Gypsum Board) </t>
  </si>
  <si>
    <t>Parapet Wall</t>
  </si>
  <si>
    <t>5/8" Thick Glass-Fiber Wall Sheathing</t>
  </si>
  <si>
    <t>2x Frt Wood Continous Blocking</t>
  </si>
  <si>
    <t>Wall Type 6C - Furred Wall</t>
  </si>
  <si>
    <t xml:space="preserve">Exterior Wall </t>
  </si>
  <si>
    <t>8" Metal Runners x 10' Long</t>
  </si>
  <si>
    <t xml:space="preserve">8" Metal Studs x 14' High </t>
  </si>
  <si>
    <t>Rigid Insulation</t>
  </si>
  <si>
    <t>5/8" Glass Fiber Wall sheathing</t>
  </si>
  <si>
    <t xml:space="preserve">Water Barrier </t>
  </si>
  <si>
    <t>5/8" Gypsum board</t>
  </si>
  <si>
    <t>6" Metal Studs</t>
  </si>
  <si>
    <t xml:space="preserve">8" Metal Studs x 18' High </t>
  </si>
  <si>
    <t>R-19 Batt Insulation</t>
  </si>
  <si>
    <t>Where Bracing is Shown</t>
  </si>
  <si>
    <t>6" Metal Runners x 10' Long</t>
  </si>
  <si>
    <t xml:space="preserve">Parapet Wall </t>
  </si>
  <si>
    <t>2x FRT Wood Blocking</t>
  </si>
  <si>
    <t>Lap Roofing Membrane</t>
  </si>
  <si>
    <t xml:space="preserve">8" Metal Studs x 4'High </t>
  </si>
  <si>
    <t>6" Metal Stud Bracing x 4.5' Long</t>
  </si>
  <si>
    <t>5/8" Parapet sheathing</t>
  </si>
  <si>
    <t>5/8" Treaded Plywood sheathing</t>
  </si>
  <si>
    <t>6" Metal Stud Bracing x 4' Long</t>
  </si>
  <si>
    <t xml:space="preserve">8" Metal Studs x 6'High </t>
  </si>
  <si>
    <t>6" Metal Stud Bracing x 8' Long</t>
  </si>
  <si>
    <t>6" Metal Stud Bracing x 6' Long</t>
  </si>
  <si>
    <t>Roof</t>
  </si>
  <si>
    <t>All Metal Panels including front of window glazing)</t>
  </si>
  <si>
    <t>MP-1: Corrugated Metal Panels - Atas International</t>
  </si>
  <si>
    <t xml:space="preserve">MC-1: ACM Coping Integral w/ Wall Panels &amp; Flashed into Roof Membrane </t>
  </si>
  <si>
    <t>Joint Compound</t>
  </si>
  <si>
    <t>Screws</t>
  </si>
  <si>
    <t>Nails</t>
  </si>
  <si>
    <t xml:space="preserve">Taping </t>
  </si>
  <si>
    <t>(Unknown on plans)</t>
  </si>
  <si>
    <t xml:space="preserve">Assumed Metal Panel </t>
  </si>
  <si>
    <t>12" Soffit</t>
  </si>
  <si>
    <t>4" Soffit</t>
  </si>
  <si>
    <t>7" Soffit</t>
  </si>
  <si>
    <t>GB-1: Gypsum Board Ceiling</t>
  </si>
  <si>
    <t xml:space="preserve">MC-2: Metal Ceiling </t>
  </si>
  <si>
    <t xml:space="preserve">For Ceiling Soffit </t>
  </si>
  <si>
    <t>3-5/8" Metal Stud framing x 4'High (Upto above structure)</t>
  </si>
  <si>
    <t>Metal Framing</t>
  </si>
  <si>
    <t xml:space="preserve">Second Floor Framing </t>
  </si>
  <si>
    <t>Hollow Steel Structure - HSS 8 x 8 x 1/2"</t>
  </si>
  <si>
    <t>Hollow Steel Structure - HSS 8 x 8 x 1/4"</t>
  </si>
  <si>
    <t>Hollow Steel Structure - HSS 10 x 10 x 1/4"</t>
  </si>
  <si>
    <t>Hollow Steel Structure - HSS 10 x 10 x 5/8"</t>
  </si>
  <si>
    <t>Hollow Steel Structure - HSS 12 x 12 x 1/2"</t>
  </si>
  <si>
    <t>Hollow Steel Structure - HSS 12 x 12 x 1/4"</t>
  </si>
  <si>
    <t>Stainless Steel Angle - L 4 x 4 x 3/8"</t>
  </si>
  <si>
    <t>Steel Beam - W8x10</t>
  </si>
  <si>
    <t>Steel Beam - W12x14</t>
  </si>
  <si>
    <t>Steel Beam - W12x16</t>
  </si>
  <si>
    <t>Steel Beam - W12x19</t>
  </si>
  <si>
    <t>Steel Beam - W12x26</t>
  </si>
  <si>
    <t>Steel Beam - W14x22</t>
  </si>
  <si>
    <t>Steel Beam - W16x26</t>
  </si>
  <si>
    <t>Steel Beam - W16x31</t>
  </si>
  <si>
    <t>Steel Beam - W18x35</t>
  </si>
  <si>
    <t>Steel Beam - W18x40</t>
  </si>
  <si>
    <t>Steel Beam - W18x46</t>
  </si>
  <si>
    <t>Steel Beam - W21x44</t>
  </si>
  <si>
    <t>Steel Beam - W21x48</t>
  </si>
  <si>
    <t>Steel Beam - W21x50</t>
  </si>
  <si>
    <t>Steel Beam - W24x55</t>
  </si>
  <si>
    <t>Steel Beam - W24x59</t>
  </si>
  <si>
    <t>Steel Beam - W24x62</t>
  </si>
  <si>
    <t>Steel Beam - W24x68</t>
  </si>
  <si>
    <t>Steel Beam - W24x76</t>
  </si>
  <si>
    <t>Steel Beam - W24x84</t>
  </si>
  <si>
    <t>Steel Beam - W30x99</t>
  </si>
  <si>
    <t>Steel Beam - W30x108</t>
  </si>
  <si>
    <t>1-1/2", 20 GA Composite Floor Metal Deck</t>
  </si>
  <si>
    <t xml:space="preserve">Roof Framing </t>
  </si>
  <si>
    <t>Steel Joist - 10K1</t>
  </si>
  <si>
    <t>Steel Joist - 10K1SP</t>
  </si>
  <si>
    <t>Steel Joist - 12K1</t>
  </si>
  <si>
    <t>Steel Joist - 14K1</t>
  </si>
  <si>
    <t>Steel Joist - 14KCS3</t>
  </si>
  <si>
    <t>Steel Joist - 16K2</t>
  </si>
  <si>
    <t>Steel Joist - 16K3</t>
  </si>
  <si>
    <t>Steel Joist - 16KCS2</t>
  </si>
  <si>
    <t>Steel Joist - 16KCS3</t>
  </si>
  <si>
    <t>Steel Joist - 18K4</t>
  </si>
  <si>
    <t>Steel Joist - 20K4</t>
  </si>
  <si>
    <t>Steel Joist - 22K4</t>
  </si>
  <si>
    <t>Steel Joist - 24KSC2</t>
  </si>
  <si>
    <t>Steel Joist - 24KSC3</t>
  </si>
  <si>
    <t>Steel Joist - 26K4</t>
  </si>
  <si>
    <t>Steel Joist - 26K7</t>
  </si>
  <si>
    <t>Steel Joist - 28K7</t>
  </si>
  <si>
    <t>Steel Joist - 28KCS2</t>
  </si>
  <si>
    <t>Steel Joist - 30K8</t>
  </si>
  <si>
    <t>Steel Joist - 30KCS5</t>
  </si>
  <si>
    <t>Steel Joist - 40LH11</t>
  </si>
  <si>
    <t>Steel Joist - 40LH12</t>
  </si>
  <si>
    <t>Steel Joist - 40LH13</t>
  </si>
  <si>
    <t>Steel Joist - 44LH11</t>
  </si>
  <si>
    <t>Steel Joist - 44LH13</t>
  </si>
  <si>
    <t>Hollow Steel Structure - HSS 2-1/2" x 2-1/2" x 1/4"</t>
  </si>
  <si>
    <t>Steel Beam - W8x18</t>
  </si>
  <si>
    <t>Steel Beam - W27x84</t>
  </si>
  <si>
    <t>Steel Beam - W30x90</t>
  </si>
  <si>
    <t>Steel Beam - W33x118</t>
  </si>
  <si>
    <t>Additional Diaphram Bracing Angles</t>
  </si>
  <si>
    <t>1-1/2", 20 GA Type B Metal Roof Deck</t>
  </si>
  <si>
    <t>BP-2 - Bearing Plate - 3/4" x 6" x 10"</t>
  </si>
  <si>
    <t>L-1 - Lintel - L4 x 3-1/2 x 5/16"</t>
  </si>
  <si>
    <t>L-3 - Steel Lintel - W8 x 18 + 5/16" Sus Plate w/ 1/4" Hangers</t>
  </si>
  <si>
    <t>L-4 - Steel Lintel - W16 x 26 + 5/16" Sus Plate w/ 1/4" Hangers</t>
  </si>
  <si>
    <t>T8S52 - "Hollow Core 8" Plank" Roof Deck</t>
  </si>
  <si>
    <t>T8S88 - "Hollow Core 8" Plank" Roof Deck</t>
  </si>
  <si>
    <t>WASTAGE
(5%)</t>
  </si>
  <si>
    <t>6" Metal Studs - 4' Long</t>
  </si>
  <si>
    <t>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</si>
</sst>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_(&quot;$&quot;* #,##0_);_(&quot;$&quot;* \(#,##0\);_(&quot;$&quot;* &quot;-&quot;??_);_(@_)"/>
    <numFmt numFmtId="170" formatCode="_(&quot;$&quot;* #,##0.0_);_(&quot;$&quot;* \(#,##0.0\);_(&quot;$&quot;* &quot;-&quot;??_);_(@_)"/>
  </numFmts>
  <fonts count="38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name val="Cambria"/>
      <family val="1"/>
      <scheme val="major"/>
    </font>
    <font>
      <b/>
      <sz val="14"/>
      <color theme="0" tint="-4.9989318521683403E-2"/>
      <name val="Cambria"/>
      <family val="1"/>
      <scheme val="major"/>
    </font>
    <font>
      <b/>
      <sz val="14"/>
      <color theme="0" tint="-0.499984740745262"/>
      <name val="Cambria"/>
      <family val="1"/>
      <scheme val="major"/>
    </font>
    <font>
      <b/>
      <sz val="11"/>
      <color theme="0" tint="-4.9989318521683403E-2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color theme="0" tint="-4.9989318521683403E-2"/>
      <name val="Cambria"/>
      <family val="1"/>
      <scheme val="major"/>
    </font>
    <font>
      <sz val="12"/>
      <color theme="0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7" fontId="2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21" fillId="0" borderId="0"/>
    <xf numFmtId="0" fontId="3" fillId="0" borderId="0"/>
    <xf numFmtId="0" fontId="22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</cellStyleXfs>
  <cellXfs count="102">
    <xf numFmtId="0" fontId="0" fillId="0" borderId="0" xfId="0"/>
    <xf numFmtId="0" fontId="23" fillId="0" borderId="0" xfId="0" applyFont="1"/>
    <xf numFmtId="0" fontId="28" fillId="0" borderId="25" xfId="0" applyFont="1" applyBorder="1"/>
    <xf numFmtId="0" fontId="27" fillId="24" borderId="13" xfId="0" applyFont="1" applyFill="1" applyBorder="1"/>
    <xf numFmtId="0" fontId="28" fillId="0" borderId="0" xfId="0" applyFont="1"/>
    <xf numFmtId="14" fontId="28" fillId="0" borderId="17" xfId="0" applyNumberFormat="1" applyFont="1" applyBorder="1"/>
    <xf numFmtId="0" fontId="27" fillId="24" borderId="25" xfId="0" applyFont="1" applyFill="1" applyBorder="1"/>
    <xf numFmtId="0" fontId="23" fillId="0" borderId="25" xfId="0" applyFont="1" applyBorder="1"/>
    <xf numFmtId="0" fontId="28" fillId="0" borderId="26" xfId="0" applyFont="1" applyBorder="1"/>
    <xf numFmtId="0" fontId="27" fillId="24" borderId="14" xfId="0" applyFont="1" applyFill="1" applyBorder="1"/>
    <xf numFmtId="0" fontId="27" fillId="24" borderId="0" xfId="0" applyFont="1" applyFill="1"/>
    <xf numFmtId="0" fontId="28" fillId="0" borderId="27" xfId="0" applyFont="1" applyBorder="1"/>
    <xf numFmtId="0" fontId="23" fillId="0" borderId="23" xfId="0" applyFont="1" applyBorder="1"/>
    <xf numFmtId="0" fontId="23" fillId="0" borderId="17" xfId="0" applyFont="1" applyBorder="1"/>
    <xf numFmtId="14" fontId="28" fillId="0" borderId="28" xfId="0" applyNumberFormat="1" applyFont="1" applyBorder="1"/>
    <xf numFmtId="0" fontId="25" fillId="24" borderId="16" xfId="0" applyFont="1" applyFill="1" applyBorder="1" applyAlignment="1">
      <alignment horizontal="center" vertical="center"/>
    </xf>
    <xf numFmtId="0" fontId="25" fillId="24" borderId="32" xfId="0" applyFont="1" applyFill="1" applyBorder="1" applyAlignment="1">
      <alignment horizontal="center" vertical="center"/>
    </xf>
    <xf numFmtId="0" fontId="25" fillId="24" borderId="16" xfId="0" applyFont="1" applyFill="1" applyBorder="1" applyAlignment="1">
      <alignment horizontal="center" vertical="center" wrapText="1"/>
    </xf>
    <xf numFmtId="0" fontId="25" fillId="24" borderId="37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/>
    </xf>
    <xf numFmtId="0" fontId="30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vertical="center"/>
    </xf>
    <xf numFmtId="0" fontId="30" fillId="25" borderId="10" xfId="0" applyFont="1" applyFill="1" applyBorder="1" applyAlignment="1">
      <alignment horizontal="center" vertical="center" wrapText="1"/>
    </xf>
    <xf numFmtId="169" fontId="25" fillId="25" borderId="16" xfId="0" applyNumberFormat="1" applyFont="1" applyFill="1" applyBorder="1"/>
    <xf numFmtId="1" fontId="26" fillId="0" borderId="29" xfId="0" applyNumberFormat="1" applyFont="1" applyBorder="1" applyAlignment="1">
      <alignment horizontal="center" vertical="top"/>
    </xf>
    <xf numFmtId="0" fontId="23" fillId="0" borderId="12" xfId="0" applyFont="1" applyBorder="1"/>
    <xf numFmtId="0" fontId="26" fillId="0" borderId="31" xfId="0" applyFont="1" applyBorder="1" applyAlignment="1">
      <alignment horizontal="justify" vertical="center"/>
    </xf>
    <xf numFmtId="165" fontId="26" fillId="0" borderId="0" xfId="0" applyNumberFormat="1" applyFont="1" applyAlignment="1">
      <alignment horizontal="right" vertical="center"/>
    </xf>
    <xf numFmtId="9" fontId="32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169" fontId="32" fillId="0" borderId="0" xfId="0" applyNumberFormat="1" applyFont="1" applyAlignment="1">
      <alignment vertical="center"/>
    </xf>
    <xf numFmtId="0" fontId="33" fillId="0" borderId="15" xfId="0" applyFont="1" applyBorder="1" applyAlignment="1">
      <alignment horizontal="center" vertical="center" wrapText="1"/>
    </xf>
    <xf numFmtId="1" fontId="29" fillId="24" borderId="11" xfId="0" applyNumberFormat="1" applyFont="1" applyFill="1" applyBorder="1" applyAlignment="1">
      <alignment horizontal="center" vertical="top"/>
    </xf>
    <xf numFmtId="0" fontId="24" fillId="0" borderId="18" xfId="0" applyFont="1" applyBorder="1" applyAlignment="1">
      <alignment vertical="top"/>
    </xf>
    <xf numFmtId="168" fontId="23" fillId="0" borderId="19" xfId="0" applyNumberFormat="1" applyFont="1" applyBorder="1" applyAlignment="1">
      <alignment horizontal="center" vertical="top"/>
    </xf>
    <xf numFmtId="0" fontId="23" fillId="0" borderId="19" xfId="0" applyFont="1" applyBorder="1" applyAlignment="1">
      <alignment horizontal="center" vertical="center"/>
    </xf>
    <xf numFmtId="164" fontId="31" fillId="25" borderId="19" xfId="0" applyNumberFormat="1" applyFont="1" applyFill="1" applyBorder="1" applyAlignment="1">
      <alignment vertical="top"/>
    </xf>
    <xf numFmtId="164" fontId="31" fillId="25" borderId="20" xfId="0" applyNumberFormat="1" applyFont="1" applyFill="1" applyBorder="1" applyAlignment="1">
      <alignment vertical="top"/>
    </xf>
    <xf numFmtId="0" fontId="24" fillId="0" borderId="33" xfId="0" applyFont="1" applyBorder="1" applyAlignment="1">
      <alignment vertical="top"/>
    </xf>
    <xf numFmtId="168" fontId="23" fillId="0" borderId="33" xfId="0" applyNumberFormat="1" applyFont="1" applyBorder="1" applyAlignment="1">
      <alignment horizontal="center" vertical="top"/>
    </xf>
    <xf numFmtId="0" fontId="23" fillId="0" borderId="33" xfId="0" applyFont="1" applyBorder="1" applyAlignment="1">
      <alignment horizontal="center" vertical="center"/>
    </xf>
    <xf numFmtId="164" fontId="31" fillId="25" borderId="33" xfId="0" applyNumberFormat="1" applyFont="1" applyFill="1" applyBorder="1" applyAlignment="1">
      <alignment vertical="top"/>
    </xf>
    <xf numFmtId="164" fontId="31" fillId="25" borderId="34" xfId="0" applyNumberFormat="1" applyFont="1" applyFill="1" applyBorder="1" applyAlignment="1">
      <alignment vertical="top"/>
    </xf>
    <xf numFmtId="168" fontId="23" fillId="0" borderId="21" xfId="0" applyNumberFormat="1" applyFont="1" applyBorder="1" applyAlignment="1">
      <alignment horizontal="center" vertical="top"/>
    </xf>
    <xf numFmtId="0" fontId="23" fillId="0" borderId="21" xfId="0" applyFont="1" applyBorder="1" applyAlignment="1">
      <alignment horizontal="center" vertical="center"/>
    </xf>
    <xf numFmtId="164" fontId="31" fillId="25" borderId="21" xfId="0" applyNumberFormat="1" applyFont="1" applyFill="1" applyBorder="1" applyAlignment="1">
      <alignment vertical="top"/>
    </xf>
    <xf numFmtId="164" fontId="31" fillId="25" borderId="22" xfId="0" applyNumberFormat="1" applyFont="1" applyFill="1" applyBorder="1" applyAlignment="1">
      <alignment vertical="top"/>
    </xf>
    <xf numFmtId="168" fontId="23" fillId="0" borderId="18" xfId="0" applyNumberFormat="1" applyFont="1" applyBorder="1" applyAlignment="1">
      <alignment horizontal="center" vertical="top"/>
    </xf>
    <xf numFmtId="164" fontId="24" fillId="0" borderId="19" xfId="0" applyNumberFormat="1" applyFont="1" applyBorder="1" applyAlignment="1">
      <alignment vertical="top"/>
    </xf>
    <xf numFmtId="164" fontId="24" fillId="0" borderId="24" xfId="0" applyNumberFormat="1" applyFont="1" applyBorder="1" applyAlignment="1">
      <alignment vertical="top"/>
    </xf>
    <xf numFmtId="164" fontId="34" fillId="24" borderId="30" xfId="0" applyNumberFormat="1" applyFont="1" applyFill="1" applyBorder="1" applyAlignment="1">
      <alignment vertical="top"/>
    </xf>
    <xf numFmtId="164" fontId="34" fillId="24" borderId="34" xfId="0" applyNumberFormat="1" applyFont="1" applyFill="1" applyBorder="1" applyAlignment="1">
      <alignment vertical="top"/>
    </xf>
    <xf numFmtId="0" fontId="23" fillId="0" borderId="17" xfId="0" applyFont="1" applyBorder="1" applyAlignment="1">
      <alignment vertical="center"/>
    </xf>
    <xf numFmtId="0" fontId="23" fillId="0" borderId="28" xfId="0" applyFont="1" applyBorder="1"/>
    <xf numFmtId="0" fontId="23" fillId="0" borderId="0" xfId="0" applyFont="1" applyAlignment="1">
      <alignment vertical="center"/>
    </xf>
    <xf numFmtId="164" fontId="24" fillId="0" borderId="0" xfId="0" applyNumberFormat="1" applyFont="1" applyAlignment="1">
      <alignment vertical="top"/>
    </xf>
    <xf numFmtId="0" fontId="33" fillId="0" borderId="0" xfId="0" applyFont="1" applyAlignment="1">
      <alignment horizontal="center" vertical="center"/>
    </xf>
    <xf numFmtId="165" fontId="30" fillId="0" borderId="0" xfId="0" applyNumberFormat="1" applyFont="1" applyAlignment="1">
      <alignment horizontal="right" vertical="center"/>
    </xf>
    <xf numFmtId="0" fontId="30" fillId="0" borderId="31" xfId="0" applyFont="1" applyBorder="1" applyAlignment="1">
      <alignment horizontal="justify" vertical="center"/>
    </xf>
    <xf numFmtId="0" fontId="30" fillId="27" borderId="31" xfId="0" applyFont="1" applyFill="1" applyBorder="1" applyAlignment="1">
      <alignment horizontal="justify" vertical="center"/>
    </xf>
    <xf numFmtId="0" fontId="36" fillId="0" borderId="12" xfId="0" applyFont="1" applyBorder="1" applyAlignment="1">
      <alignment wrapText="1"/>
    </xf>
    <xf numFmtId="166" fontId="28" fillId="0" borderId="25" xfId="0" applyNumberFormat="1" applyFont="1" applyBorder="1"/>
    <xf numFmtId="166" fontId="28" fillId="0" borderId="0" xfId="0" applyNumberFormat="1" applyFont="1"/>
    <xf numFmtId="166" fontId="28" fillId="0" borderId="17" xfId="0" applyNumberFormat="1" applyFont="1" applyBorder="1"/>
    <xf numFmtId="166" fontId="25" fillId="24" borderId="16" xfId="0" applyNumberFormat="1" applyFont="1" applyFill="1" applyBorder="1" applyAlignment="1">
      <alignment horizontal="center" vertical="center" wrapText="1"/>
    </xf>
    <xf numFmtId="166" fontId="30" fillId="25" borderId="10" xfId="0" applyNumberFormat="1" applyFont="1" applyFill="1" applyBorder="1" applyAlignment="1">
      <alignment horizontal="center" vertical="center"/>
    </xf>
    <xf numFmtId="166" fontId="32" fillId="0" borderId="0" xfId="0" applyNumberFormat="1" applyFont="1" applyAlignment="1">
      <alignment vertical="center"/>
    </xf>
    <xf numFmtId="166" fontId="35" fillId="0" borderId="19" xfId="0" applyNumberFormat="1" applyFont="1" applyBorder="1" applyAlignment="1">
      <alignment vertical="top"/>
    </xf>
    <xf numFmtId="166" fontId="31" fillId="0" borderId="33" xfId="0" applyNumberFormat="1" applyFont="1" applyBorder="1" applyAlignment="1">
      <alignment horizontal="center" vertical="top"/>
    </xf>
    <xf numFmtId="166" fontId="31" fillId="0" borderId="21" xfId="0" applyNumberFormat="1" applyFont="1" applyBorder="1" applyAlignment="1">
      <alignment horizontal="center" vertical="top"/>
    </xf>
    <xf numFmtId="166" fontId="24" fillId="0" borderId="19" xfId="0" applyNumberFormat="1" applyFont="1" applyBorder="1" applyAlignment="1">
      <alignment horizontal="center" vertical="top"/>
    </xf>
    <xf numFmtId="166" fontId="23" fillId="0" borderId="33" xfId="0" applyNumberFormat="1" applyFont="1" applyBorder="1" applyAlignment="1">
      <alignment vertical="top"/>
    </xf>
    <xf numFmtId="166" fontId="23" fillId="0" borderId="17" xfId="0" applyNumberFormat="1" applyFont="1" applyBorder="1"/>
    <xf numFmtId="166" fontId="23" fillId="0" borderId="0" xfId="0" applyNumberFormat="1" applyFont="1"/>
    <xf numFmtId="166" fontId="31" fillId="25" borderId="33" xfId="0" applyNumberFormat="1" applyFont="1" applyFill="1" applyBorder="1" applyAlignment="1">
      <alignment horizontal="center" vertical="top"/>
    </xf>
    <xf numFmtId="166" fontId="31" fillId="25" borderId="21" xfId="0" applyNumberFormat="1" applyFont="1" applyFill="1" applyBorder="1" applyAlignment="1">
      <alignment horizontal="center" vertical="top"/>
    </xf>
    <xf numFmtId="166" fontId="32" fillId="28" borderId="0" xfId="0" applyNumberFormat="1" applyFont="1" applyFill="1" applyAlignment="1">
      <alignment vertical="center"/>
    </xf>
    <xf numFmtId="169" fontId="32" fillId="28" borderId="0" xfId="0" applyNumberFormat="1" applyFont="1" applyFill="1" applyAlignment="1">
      <alignment vertical="center"/>
    </xf>
    <xf numFmtId="0" fontId="30" fillId="29" borderId="38" xfId="0" applyFont="1" applyFill="1" applyBorder="1" applyAlignment="1">
      <alignment horizontal="justify" vertical="center"/>
    </xf>
    <xf numFmtId="170" fontId="32" fillId="0" borderId="0" xfId="0" applyNumberFormat="1" applyFont="1" applyAlignment="1">
      <alignment vertical="center"/>
    </xf>
    <xf numFmtId="0" fontId="37" fillId="26" borderId="31" xfId="0" applyFont="1" applyFill="1" applyBorder="1" applyAlignment="1">
      <alignment horizontal="justify" vertical="center"/>
    </xf>
    <xf numFmtId="0" fontId="34" fillId="24" borderId="35" xfId="0" applyFont="1" applyFill="1" applyBorder="1" applyAlignment="1">
      <alignment horizontal="center" vertical="top"/>
    </xf>
    <xf numFmtId="0" fontId="34" fillId="24" borderId="33" xfId="0" applyFont="1" applyFill="1" applyBorder="1" applyAlignment="1">
      <alignment horizontal="center" vertical="top"/>
    </xf>
    <xf numFmtId="0" fontId="34" fillId="24" borderId="36" xfId="0" applyFont="1" applyFill="1" applyBorder="1" applyAlignment="1">
      <alignment horizontal="center" vertical="top"/>
    </xf>
    <xf numFmtId="0" fontId="34" fillId="25" borderId="18" xfId="0" applyFont="1" applyFill="1" applyBorder="1" applyAlignment="1">
      <alignment horizontal="center" vertical="top"/>
    </xf>
    <xf numFmtId="0" fontId="34" fillId="25" borderId="19" xfId="0" applyFont="1" applyFill="1" applyBorder="1" applyAlignment="1">
      <alignment horizontal="center" vertical="top"/>
    </xf>
    <xf numFmtId="0" fontId="34" fillId="25" borderId="24" xfId="0" applyFont="1" applyFill="1" applyBorder="1" applyAlignment="1">
      <alignment horizontal="center" vertical="top"/>
    </xf>
    <xf numFmtId="0" fontId="27" fillId="24" borderId="25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30" fillId="26" borderId="11" xfId="0" applyFont="1" applyFill="1" applyBorder="1" applyAlignment="1">
      <alignment horizontal="center" vertical="center"/>
    </xf>
    <xf numFmtId="0" fontId="30" fillId="26" borderId="32" xfId="0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 wrapText="1"/>
    </xf>
    <xf numFmtId="0" fontId="36" fillId="0" borderId="12" xfId="0" applyFont="1" applyBorder="1" applyAlignment="1">
      <alignment horizontal="center" vertical="center"/>
    </xf>
    <xf numFmtId="0" fontId="35" fillId="0" borderId="0" xfId="0" applyFont="1"/>
    <xf numFmtId="18" fontId="35" fillId="0" borderId="0" xfId="0" applyNumberFormat="1" applyFont="1"/>
    <xf numFmtId="0" fontId="25" fillId="0" borderId="0" xfId="0" applyFont="1"/>
    <xf numFmtId="167" fontId="35" fillId="0" borderId="0" xfId="0" applyNumberFormat="1" applyFont="1"/>
    <xf numFmtId="165" fontId="35" fillId="0" borderId="0" xfId="0" applyNumberFormat="1" applyFont="1"/>
  </cellXfs>
  <cellStyles count="9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Explanatory Text 2" xfId="56" xr:uid="{00000000-0005-0000-0000-000038000000}"/>
    <cellStyle name="Explanatory Text 3" xfId="57" xr:uid="{00000000-0005-0000-0000-000039000000}"/>
    <cellStyle name="Good 2" xfId="58" xr:uid="{00000000-0005-0000-0000-00003A000000}"/>
    <cellStyle name="Good 3" xfId="59" xr:uid="{00000000-0005-0000-0000-00003B000000}"/>
    <cellStyle name="Heading 1 2" xfId="60" xr:uid="{00000000-0005-0000-0000-00003C000000}"/>
    <cellStyle name="Heading 1 3" xfId="61" xr:uid="{00000000-0005-0000-0000-00003D000000}"/>
    <cellStyle name="Heading 2 2" xfId="62" xr:uid="{00000000-0005-0000-0000-00003E000000}"/>
    <cellStyle name="Heading 2 3" xfId="63" xr:uid="{00000000-0005-0000-0000-00003F000000}"/>
    <cellStyle name="Heading 3 2" xfId="64" xr:uid="{00000000-0005-0000-0000-000040000000}"/>
    <cellStyle name="Heading 3 3" xfId="65" xr:uid="{00000000-0005-0000-0000-000041000000}"/>
    <cellStyle name="Heading 4 2" xfId="66" xr:uid="{00000000-0005-0000-0000-000042000000}"/>
    <cellStyle name="Heading 4 3" xfId="67" xr:uid="{00000000-0005-0000-0000-000043000000}"/>
    <cellStyle name="Input 2" xfId="68" xr:uid="{00000000-0005-0000-0000-000044000000}"/>
    <cellStyle name="Input 3" xfId="69" xr:uid="{00000000-0005-0000-0000-000045000000}"/>
    <cellStyle name="Linked Cell 2" xfId="70" xr:uid="{00000000-0005-0000-0000-000046000000}"/>
    <cellStyle name="Linked Cell 3" xfId="71" xr:uid="{00000000-0005-0000-0000-000047000000}"/>
    <cellStyle name="Neutral 2" xfId="72" xr:uid="{00000000-0005-0000-0000-000048000000}"/>
    <cellStyle name="Neutral 3" xfId="73" xr:uid="{00000000-0005-0000-0000-000049000000}"/>
    <cellStyle name="Normal" xfId="0" builtinId="0"/>
    <cellStyle name="Normal 2" xfId="89" xr:uid="{00000000-0005-0000-0000-00004B000000}"/>
    <cellStyle name="Normal 2 2" xfId="74" xr:uid="{00000000-0005-0000-0000-00004C000000}"/>
    <cellStyle name="Normal 2 3" xfId="75" xr:uid="{00000000-0005-0000-0000-00004D000000}"/>
    <cellStyle name="Normal 3" xfId="76" xr:uid="{00000000-0005-0000-0000-00004E000000}"/>
    <cellStyle name="Normal 4" xfId="88" xr:uid="{00000000-0005-0000-0000-00004F000000}"/>
    <cellStyle name="Normal 6" xfId="77" xr:uid="{00000000-0005-0000-0000-000050000000}"/>
    <cellStyle name="Note 2" xfId="78" xr:uid="{00000000-0005-0000-0000-000051000000}"/>
    <cellStyle name="Note 3" xfId="79" xr:uid="{00000000-0005-0000-0000-000052000000}"/>
    <cellStyle name="Output 2" xfId="80" xr:uid="{00000000-0005-0000-0000-000053000000}"/>
    <cellStyle name="Output 3" xfId="81" xr:uid="{00000000-0005-0000-0000-000054000000}"/>
    <cellStyle name="Title 2" xfId="82" xr:uid="{00000000-0005-0000-0000-000055000000}"/>
    <cellStyle name="Title 3" xfId="83" xr:uid="{00000000-0005-0000-0000-000056000000}"/>
    <cellStyle name="Total 2" xfId="84" xr:uid="{00000000-0005-0000-0000-000057000000}"/>
    <cellStyle name="Total 3" xfId="85" xr:uid="{00000000-0005-0000-0000-000058000000}"/>
    <cellStyle name="Warning Text 2" xfId="86" xr:uid="{00000000-0005-0000-0000-000059000000}"/>
    <cellStyle name="Warning Text 3" xfId="87" xr:uid="{00000000-0005-0000-0000-00005A000000}"/>
  </cellStyles>
  <dxfs count="0"/>
  <tableStyles count="0" defaultTableStyle="TableStyleMedium9" defaultPivotStyle="PivotStyleLight16"/>
  <colors>
    <mruColors>
      <color rgb="FFFFFFFF"/>
      <color rgb="FF6DD9FF"/>
      <color rgb="FF2DC8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D70-4E35-9E3E-70CC9B69F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023056"/>
        <c:axId val="224023616"/>
      </c:barChart>
      <c:catAx>
        <c:axId val="22402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24023616"/>
        <c:crosses val="autoZero"/>
        <c:auto val="1"/>
        <c:lblAlgn val="ctr"/>
        <c:lblOffset val="100"/>
        <c:noMultiLvlLbl val="0"/>
      </c:catAx>
      <c:valAx>
        <c:axId val="224023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24023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4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2"/>
  <sheetViews>
    <sheetView tabSelected="1" topLeftCell="A425" zoomScale="86" zoomScaleNormal="86" zoomScaleSheetLayoutView="62" workbookViewId="0">
      <selection activeCell="F22" sqref="F22"/>
    </sheetView>
  </sheetViews>
  <sheetFormatPr defaultRowHeight="15.75" x14ac:dyDescent="0.25"/>
  <cols>
    <col min="1" max="1" width="4.44140625" style="1" customWidth="1"/>
    <col min="2" max="2" width="15.88671875" style="1" customWidth="1"/>
    <col min="3" max="3" width="38" style="1" customWidth="1"/>
    <col min="4" max="4" width="8.109375" style="1" customWidth="1"/>
    <col min="5" max="5" width="8.5546875" style="1" customWidth="1"/>
    <col min="6" max="6" width="9.33203125" style="1" customWidth="1"/>
    <col min="7" max="7" width="10.77734375" style="57" customWidth="1"/>
    <col min="8" max="8" width="11.77734375" style="76" customWidth="1"/>
    <col min="9" max="9" width="14.33203125" style="1" customWidth="1"/>
    <col min="10" max="10" width="11.44140625" style="76" customWidth="1"/>
    <col min="11" max="11" width="12.77734375" style="1" customWidth="1"/>
    <col min="12" max="12" width="12.77734375" style="27" customWidth="1"/>
    <col min="13" max="13" width="15.88671875" style="1" customWidth="1"/>
    <col min="14" max="20" width="8.88671875" style="97"/>
    <col min="21" max="16384" width="8.88671875" style="1"/>
  </cols>
  <sheetData>
    <row r="1" spans="1:14" ht="18" x14ac:dyDescent="0.25">
      <c r="A1" s="3"/>
      <c r="B1" s="6"/>
      <c r="C1" s="6"/>
      <c r="D1" s="7"/>
      <c r="E1" s="7"/>
      <c r="F1" s="90" t="s">
        <v>9</v>
      </c>
      <c r="G1" s="90"/>
      <c r="H1" s="64" t="s">
        <v>47</v>
      </c>
      <c r="I1" s="2"/>
      <c r="J1" s="64"/>
      <c r="K1" s="2"/>
      <c r="L1" s="2"/>
      <c r="M1" s="8"/>
    </row>
    <row r="2" spans="1:14" ht="18" x14ac:dyDescent="0.25">
      <c r="A2" s="9"/>
      <c r="B2" s="10"/>
      <c r="C2" s="10"/>
      <c r="F2" s="91" t="s">
        <v>33</v>
      </c>
      <c r="G2" s="91"/>
      <c r="H2" s="65" t="s">
        <v>48</v>
      </c>
      <c r="I2" s="4"/>
      <c r="J2" s="65"/>
      <c r="K2" s="4"/>
      <c r="L2" s="4"/>
      <c r="M2" s="11"/>
      <c r="N2" s="98"/>
    </row>
    <row r="3" spans="1:14" ht="18.75" thickBot="1" x14ac:dyDescent="0.3">
      <c r="A3" s="12"/>
      <c r="B3" s="13"/>
      <c r="C3" s="13"/>
      <c r="D3" s="13"/>
      <c r="E3" s="13"/>
      <c r="F3" s="92" t="s">
        <v>34</v>
      </c>
      <c r="G3" s="92"/>
      <c r="H3" s="66" t="str">
        <f ca="1">TEXT(TODAY(),  "MMMM DD,  YYYY - DDDD")</f>
        <v>March 31,  2023 - Friday</v>
      </c>
      <c r="I3" s="5"/>
      <c r="J3" s="66"/>
      <c r="K3" s="5"/>
      <c r="L3" s="5"/>
      <c r="M3" s="14"/>
    </row>
    <row r="4" spans="1:14" ht="43.5" thickBot="1" x14ac:dyDescent="0.3">
      <c r="A4" s="15" t="s">
        <v>2</v>
      </c>
      <c r="B4" s="16" t="s">
        <v>8</v>
      </c>
      <c r="C4" s="15" t="s">
        <v>0</v>
      </c>
      <c r="D4" s="15" t="s">
        <v>3</v>
      </c>
      <c r="E4" s="17" t="s">
        <v>195</v>
      </c>
      <c r="F4" s="17" t="s">
        <v>4</v>
      </c>
      <c r="G4" s="17" t="s">
        <v>5</v>
      </c>
      <c r="H4" s="67" t="s">
        <v>18</v>
      </c>
      <c r="I4" s="18" t="s">
        <v>17</v>
      </c>
      <c r="J4" s="67" t="s">
        <v>19</v>
      </c>
      <c r="K4" s="19" t="s">
        <v>20</v>
      </c>
      <c r="L4" s="19" t="s">
        <v>21</v>
      </c>
      <c r="M4" s="17" t="s">
        <v>6</v>
      </c>
      <c r="N4" s="99"/>
    </row>
    <row r="5" spans="1:14" ht="16.5" thickBot="1" x14ac:dyDescent="0.3">
      <c r="A5" s="20"/>
      <c r="B5" s="22" t="s">
        <v>10</v>
      </c>
      <c r="C5" s="23" t="s">
        <v>11</v>
      </c>
      <c r="D5" s="21"/>
      <c r="E5" s="24"/>
      <c r="F5" s="24"/>
      <c r="G5" s="24"/>
      <c r="H5" s="68"/>
      <c r="I5" s="24"/>
      <c r="J5" s="68"/>
      <c r="K5" s="24"/>
      <c r="L5" s="21"/>
      <c r="M5" s="25">
        <f>SUM(L7:L15)</f>
        <v>0</v>
      </c>
      <c r="N5" s="99"/>
    </row>
    <row r="6" spans="1:14" ht="16.5" thickBot="1" x14ac:dyDescent="0.3">
      <c r="A6" s="26"/>
      <c r="B6" s="27"/>
      <c r="C6" s="28"/>
      <c r="D6" s="29"/>
      <c r="E6" s="30"/>
      <c r="F6" s="31"/>
      <c r="G6" s="32"/>
      <c r="H6" s="69"/>
      <c r="I6" s="33"/>
      <c r="J6" s="69"/>
      <c r="K6" s="33"/>
      <c r="L6" s="33"/>
      <c r="M6" s="34"/>
      <c r="N6" s="99"/>
    </row>
    <row r="7" spans="1:14" ht="16.5" thickBot="1" x14ac:dyDescent="0.3">
      <c r="A7" s="35">
        <f>IF(F7&lt;&gt;"",1+MAX($A$5:A6),"")</f>
        <v>1</v>
      </c>
      <c r="B7" s="27"/>
      <c r="C7" s="28" t="s">
        <v>22</v>
      </c>
      <c r="D7" s="29">
        <v>1</v>
      </c>
      <c r="E7" s="30">
        <v>0</v>
      </c>
      <c r="F7" s="31">
        <f>D7*(1+E7)</f>
        <v>1</v>
      </c>
      <c r="G7" s="32" t="s">
        <v>12</v>
      </c>
      <c r="H7" s="69">
        <v>0</v>
      </c>
      <c r="I7" s="33">
        <f>H7*F7</f>
        <v>0</v>
      </c>
      <c r="J7" s="69">
        <v>0</v>
      </c>
      <c r="K7" s="33">
        <f>F7*J7</f>
        <v>0</v>
      </c>
      <c r="L7" s="33">
        <f>K7+I7</f>
        <v>0</v>
      </c>
      <c r="M7" s="34"/>
      <c r="N7" s="99"/>
    </row>
    <row r="8" spans="1:14" ht="16.5" thickBot="1" x14ac:dyDescent="0.3">
      <c r="A8" s="35">
        <f>IF(F8&lt;&gt;"",1+MAX($A$5:A7),"")</f>
        <v>2</v>
      </c>
      <c r="B8" s="27"/>
      <c r="C8" s="28" t="s">
        <v>23</v>
      </c>
      <c r="D8" s="29">
        <v>1</v>
      </c>
      <c r="E8" s="30">
        <v>0</v>
      </c>
      <c r="F8" s="31">
        <f>D8*(1+E8)</f>
        <v>1</v>
      </c>
      <c r="G8" s="32" t="s">
        <v>12</v>
      </c>
      <c r="H8" s="69">
        <v>0</v>
      </c>
      <c r="I8" s="33">
        <f t="shared" ref="I8:I13" si="0">H8*F8</f>
        <v>0</v>
      </c>
      <c r="J8" s="69">
        <v>0</v>
      </c>
      <c r="K8" s="33">
        <f t="shared" ref="K8:K13" si="1">F8*J8</f>
        <v>0</v>
      </c>
      <c r="L8" s="33">
        <f t="shared" ref="L8:L13" si="2">K8+I8</f>
        <v>0</v>
      </c>
      <c r="M8" s="34"/>
      <c r="N8" s="99"/>
    </row>
    <row r="9" spans="1:14" ht="16.5" thickBot="1" x14ac:dyDescent="0.3">
      <c r="A9" s="35">
        <f>IF(F9&lt;&gt;"",1+MAX($A$5:A8),"")</f>
        <v>3</v>
      </c>
      <c r="B9" s="27"/>
      <c r="C9" s="28" t="s">
        <v>24</v>
      </c>
      <c r="D9" s="29">
        <v>1</v>
      </c>
      <c r="E9" s="30">
        <v>0</v>
      </c>
      <c r="F9" s="31">
        <f>D9*(1+E9)</f>
        <v>1</v>
      </c>
      <c r="G9" s="32" t="s">
        <v>12</v>
      </c>
      <c r="H9" s="69">
        <v>0</v>
      </c>
      <c r="I9" s="33">
        <f t="shared" si="0"/>
        <v>0</v>
      </c>
      <c r="J9" s="69">
        <v>0</v>
      </c>
      <c r="K9" s="33">
        <f t="shared" si="1"/>
        <v>0</v>
      </c>
      <c r="L9" s="33">
        <f t="shared" si="2"/>
        <v>0</v>
      </c>
      <c r="M9" s="34"/>
      <c r="N9" s="99"/>
    </row>
    <row r="10" spans="1:14" ht="16.5" thickBot="1" x14ac:dyDescent="0.3">
      <c r="A10" s="35">
        <f>IF(F10&lt;&gt;"",1+MAX($A$5:A9),"")</f>
        <v>4</v>
      </c>
      <c r="B10" s="27"/>
      <c r="C10" s="28" t="s">
        <v>25</v>
      </c>
      <c r="D10" s="29">
        <v>1</v>
      </c>
      <c r="E10" s="30">
        <v>0</v>
      </c>
      <c r="F10" s="31">
        <f>D10*(1+E10)</f>
        <v>1</v>
      </c>
      <c r="G10" s="32" t="s">
        <v>12</v>
      </c>
      <c r="H10" s="69">
        <v>0</v>
      </c>
      <c r="I10" s="33">
        <f t="shared" si="0"/>
        <v>0</v>
      </c>
      <c r="J10" s="69">
        <v>0</v>
      </c>
      <c r="K10" s="33">
        <f t="shared" si="1"/>
        <v>0</v>
      </c>
      <c r="L10" s="33">
        <f t="shared" si="2"/>
        <v>0</v>
      </c>
      <c r="M10" s="34"/>
      <c r="N10" s="99"/>
    </row>
    <row r="11" spans="1:14" ht="16.5" thickBot="1" x14ac:dyDescent="0.3">
      <c r="A11" s="35">
        <f>IF(F11&lt;&gt;"",1+MAX($A$5:A10),"")</f>
        <v>5</v>
      </c>
      <c r="B11" s="27"/>
      <c r="C11" s="28" t="s">
        <v>29</v>
      </c>
      <c r="D11" s="29">
        <v>1</v>
      </c>
      <c r="E11" s="30">
        <v>0</v>
      </c>
      <c r="F11" s="31">
        <f>D11*(1+E11)</f>
        <v>1</v>
      </c>
      <c r="G11" s="32" t="s">
        <v>12</v>
      </c>
      <c r="H11" s="69">
        <v>0</v>
      </c>
      <c r="I11" s="33">
        <f t="shared" si="0"/>
        <v>0</v>
      </c>
      <c r="J11" s="69">
        <v>0</v>
      </c>
      <c r="K11" s="33">
        <f t="shared" si="1"/>
        <v>0</v>
      </c>
      <c r="L11" s="33">
        <f t="shared" si="2"/>
        <v>0</v>
      </c>
      <c r="M11" s="34"/>
      <c r="N11" s="99"/>
    </row>
    <row r="12" spans="1:14" ht="16.5" thickBot="1" x14ac:dyDescent="0.3">
      <c r="A12" s="35">
        <f>IF(F12&lt;&gt;"",1+MAX($A$5:A11),"")</f>
        <v>6</v>
      </c>
      <c r="B12" s="27"/>
      <c r="C12" s="28" t="s">
        <v>26</v>
      </c>
      <c r="D12" s="29">
        <v>1</v>
      </c>
      <c r="E12" s="30">
        <v>0</v>
      </c>
      <c r="F12" s="31">
        <f>D12*(1+E12)</f>
        <v>1</v>
      </c>
      <c r="G12" s="32" t="s">
        <v>12</v>
      </c>
      <c r="H12" s="69">
        <v>0</v>
      </c>
      <c r="I12" s="33">
        <f t="shared" si="0"/>
        <v>0</v>
      </c>
      <c r="J12" s="69">
        <v>0</v>
      </c>
      <c r="K12" s="33">
        <f t="shared" si="1"/>
        <v>0</v>
      </c>
      <c r="L12" s="33">
        <f t="shared" si="2"/>
        <v>0</v>
      </c>
      <c r="M12" s="34"/>
      <c r="N12" s="99"/>
    </row>
    <row r="13" spans="1:14" ht="16.5" thickBot="1" x14ac:dyDescent="0.3">
      <c r="A13" s="35">
        <f>IF(F13&lt;&gt;"",1+MAX($A$5:A12),"")</f>
        <v>7</v>
      </c>
      <c r="B13" s="27"/>
      <c r="C13" s="28" t="s">
        <v>27</v>
      </c>
      <c r="D13" s="29">
        <v>1</v>
      </c>
      <c r="E13" s="30">
        <v>0</v>
      </c>
      <c r="F13" s="31">
        <f>D13*(1+E13)</f>
        <v>1</v>
      </c>
      <c r="G13" s="32" t="s">
        <v>12</v>
      </c>
      <c r="H13" s="69">
        <v>0</v>
      </c>
      <c r="I13" s="33">
        <f t="shared" si="0"/>
        <v>0</v>
      </c>
      <c r="J13" s="69">
        <v>0</v>
      </c>
      <c r="K13" s="33">
        <f t="shared" si="1"/>
        <v>0</v>
      </c>
      <c r="L13" s="33">
        <f t="shared" si="2"/>
        <v>0</v>
      </c>
      <c r="M13" s="34"/>
      <c r="N13" s="99"/>
    </row>
    <row r="14" spans="1:14" ht="16.5" thickBot="1" x14ac:dyDescent="0.3">
      <c r="A14" s="35">
        <f>IF(F14&lt;&gt;"",1+MAX($A$5:A13),"")</f>
        <v>8</v>
      </c>
      <c r="B14" s="27"/>
      <c r="C14" s="28" t="s">
        <v>28</v>
      </c>
      <c r="D14" s="29">
        <v>1</v>
      </c>
      <c r="E14" s="30">
        <v>0</v>
      </c>
      <c r="F14" s="31">
        <f>D14*(1+E14)</f>
        <v>1</v>
      </c>
      <c r="G14" s="32" t="s">
        <v>12</v>
      </c>
      <c r="H14" s="69">
        <v>0</v>
      </c>
      <c r="I14" s="33">
        <f t="shared" ref="I14" si="3">H14*F14</f>
        <v>0</v>
      </c>
      <c r="J14" s="69">
        <v>0</v>
      </c>
      <c r="K14" s="33">
        <f t="shared" ref="K14" si="4">F14*J14</f>
        <v>0</v>
      </c>
      <c r="L14" s="33">
        <f t="shared" ref="L14" si="5">K14+I14</f>
        <v>0</v>
      </c>
      <c r="M14" s="34"/>
      <c r="N14" s="99"/>
    </row>
    <row r="15" spans="1:14" ht="16.5" thickBot="1" x14ac:dyDescent="0.3">
      <c r="A15" s="35" t="str">
        <f>IF(F15&lt;&gt;"",1+MAX($A$5:A14),"")</f>
        <v/>
      </c>
      <c r="B15" s="27"/>
      <c r="C15" s="28"/>
      <c r="D15" s="29"/>
      <c r="E15" s="30"/>
      <c r="F15" s="31"/>
      <c r="G15" s="32"/>
      <c r="H15" s="69"/>
      <c r="I15" s="33"/>
      <c r="J15" s="69"/>
      <c r="K15" s="33"/>
      <c r="L15" s="33"/>
      <c r="M15" s="34"/>
      <c r="N15" s="99"/>
    </row>
    <row r="16" spans="1:14" ht="16.5" thickBot="1" x14ac:dyDescent="0.3">
      <c r="A16" s="35" t="str">
        <f>IF(F16&lt;&gt;"",1+MAX($A$5:A15),"")</f>
        <v/>
      </c>
      <c r="B16" s="22" t="s">
        <v>13</v>
      </c>
      <c r="C16" s="23" t="s">
        <v>14</v>
      </c>
      <c r="D16" s="21"/>
      <c r="E16" s="24"/>
      <c r="F16" s="24"/>
      <c r="G16" s="24"/>
      <c r="H16" s="68"/>
      <c r="I16" s="24"/>
      <c r="J16" s="68"/>
      <c r="K16" s="24"/>
      <c r="L16" s="21"/>
      <c r="M16" s="25">
        <f>SUM(L17:L396)</f>
        <v>3128947.5173136578</v>
      </c>
      <c r="N16" s="99"/>
    </row>
    <row r="17" spans="1:15" ht="16.5" thickBot="1" x14ac:dyDescent="0.3">
      <c r="A17" s="35" t="str">
        <f>IF(F17&lt;&gt;"",1+MAX($A$5:A16),"")</f>
        <v/>
      </c>
      <c r="B17" s="27"/>
      <c r="C17" s="28"/>
      <c r="D17" s="29"/>
      <c r="E17" s="30"/>
      <c r="F17" s="31"/>
      <c r="G17" s="32"/>
      <c r="H17" s="69"/>
      <c r="I17" s="33"/>
      <c r="J17" s="69"/>
      <c r="K17" s="33"/>
      <c r="L17" s="33"/>
      <c r="M17" s="34"/>
      <c r="N17" s="99"/>
    </row>
    <row r="18" spans="1:15" ht="16.5" thickBot="1" x14ac:dyDescent="0.3">
      <c r="A18" s="35" t="str">
        <f>IF(F18&lt;&gt;"",1+MAX($A$5:A17),"")</f>
        <v/>
      </c>
      <c r="B18" s="93" t="s">
        <v>35</v>
      </c>
      <c r="C18" s="94"/>
      <c r="D18" s="29"/>
      <c r="E18" s="30"/>
      <c r="F18" s="31"/>
      <c r="G18" s="32"/>
      <c r="H18" s="69"/>
      <c r="I18" s="33"/>
      <c r="J18" s="69"/>
      <c r="K18" s="33"/>
      <c r="L18" s="33"/>
      <c r="M18" s="34"/>
      <c r="N18" s="99"/>
    </row>
    <row r="19" spans="1:15" ht="16.5" thickBot="1" x14ac:dyDescent="0.3">
      <c r="A19" s="35" t="str">
        <f>IF(F19&lt;&gt;"",1+MAX($A$5:A18),"")</f>
        <v/>
      </c>
      <c r="B19" s="27"/>
      <c r="C19" s="28"/>
      <c r="D19" s="29"/>
      <c r="E19" s="30"/>
      <c r="F19" s="31"/>
      <c r="G19" s="32"/>
      <c r="H19" s="69"/>
      <c r="I19" s="33"/>
      <c r="J19" s="69"/>
      <c r="K19" s="33"/>
      <c r="L19" s="33"/>
      <c r="M19" s="34"/>
      <c r="N19" s="99"/>
    </row>
    <row r="20" spans="1:15" ht="16.5" thickBot="1" x14ac:dyDescent="0.3">
      <c r="A20" s="35" t="str">
        <f>IF(F20&lt;&gt;"",1+MAX($A$5:A19),"")</f>
        <v/>
      </c>
      <c r="B20" s="27"/>
      <c r="C20" s="81" t="s">
        <v>36</v>
      </c>
      <c r="D20" s="60">
        <v>386</v>
      </c>
      <c r="E20" s="60"/>
      <c r="F20" s="31"/>
      <c r="G20" s="59" t="s">
        <v>55</v>
      </c>
      <c r="H20" s="69"/>
      <c r="I20" s="33"/>
      <c r="J20" s="69"/>
      <c r="K20" s="33"/>
      <c r="L20" s="33"/>
      <c r="M20" s="34"/>
      <c r="N20" s="99"/>
      <c r="O20" s="100"/>
    </row>
    <row r="21" spans="1:15" ht="16.5" thickBot="1" x14ac:dyDescent="0.3">
      <c r="A21" s="35" t="str">
        <f>IF(F21&lt;&gt;"",1+MAX($A$5:A20),"")</f>
        <v/>
      </c>
      <c r="B21" s="27"/>
      <c r="C21" s="81" t="s">
        <v>49</v>
      </c>
      <c r="D21" s="60">
        <v>14</v>
      </c>
      <c r="E21" s="30"/>
      <c r="F21" s="31"/>
      <c r="G21" s="59" t="s">
        <v>55</v>
      </c>
      <c r="H21" s="69"/>
      <c r="I21" s="33"/>
      <c r="J21" s="69"/>
      <c r="K21" s="33"/>
      <c r="L21" s="33"/>
      <c r="M21" s="34"/>
      <c r="N21" s="99"/>
    </row>
    <row r="22" spans="1:15" ht="16.5" thickBot="1" x14ac:dyDescent="0.3">
      <c r="A22" s="35">
        <f>IF(F22&lt;&gt;"",1+MAX($A$5:A21),"")</f>
        <v>9</v>
      </c>
      <c r="B22" s="27"/>
      <c r="C22" s="28" t="s">
        <v>50</v>
      </c>
      <c r="D22" s="29">
        <f>ROUNDUP((1+D20+350)/2,0)</f>
        <v>369</v>
      </c>
      <c r="E22" s="30">
        <v>0.05</v>
      </c>
      <c r="F22" s="31">
        <f>D22*(1+E22)</f>
        <v>387.45</v>
      </c>
      <c r="G22" s="32" t="s">
        <v>45</v>
      </c>
      <c r="H22" s="69">
        <v>21</v>
      </c>
      <c r="I22" s="33">
        <f>H22*F22</f>
        <v>8136.45</v>
      </c>
      <c r="J22" s="69">
        <v>33</v>
      </c>
      <c r="K22" s="33">
        <f>F22*J22</f>
        <v>12785.85</v>
      </c>
      <c r="L22" s="33">
        <f>K22+I22</f>
        <v>20922.3</v>
      </c>
      <c r="M22" s="34"/>
      <c r="N22" s="99"/>
    </row>
    <row r="23" spans="1:15" ht="16.5" thickBot="1" x14ac:dyDescent="0.3">
      <c r="A23" s="35">
        <f>IF(F23&lt;&gt;"",1+MAX($A$5:A22),"")</f>
        <v>10</v>
      </c>
      <c r="B23" s="27"/>
      <c r="C23" s="28" t="s">
        <v>65</v>
      </c>
      <c r="D23" s="29">
        <f>ROUNDUP(((D20+350)*3)/10,0)</f>
        <v>221</v>
      </c>
      <c r="E23" s="30">
        <v>0.05</v>
      </c>
      <c r="F23" s="31">
        <f>D23*(1+E23)</f>
        <v>232.05</v>
      </c>
      <c r="G23" s="32" t="s">
        <v>45</v>
      </c>
      <c r="H23" s="69">
        <v>15</v>
      </c>
      <c r="I23" s="33">
        <f>H23*F23</f>
        <v>3480.75</v>
      </c>
      <c r="J23" s="69">
        <v>23.6</v>
      </c>
      <c r="K23" s="33">
        <f>F23*J23</f>
        <v>5476.380000000001</v>
      </c>
      <c r="L23" s="33">
        <f>K23+I23</f>
        <v>8957.130000000001</v>
      </c>
      <c r="M23" s="34"/>
      <c r="N23" s="99"/>
    </row>
    <row r="24" spans="1:15" ht="16.5" thickBot="1" x14ac:dyDescent="0.3">
      <c r="A24" s="35">
        <f>IF(F24&lt;&gt;"",1+MAX($A$5:A23),"")</f>
        <v>11</v>
      </c>
      <c r="B24" s="27"/>
      <c r="C24" s="28" t="s">
        <v>52</v>
      </c>
      <c r="D24" s="29">
        <f>D20*10.34</f>
        <v>3991.24</v>
      </c>
      <c r="E24" s="30">
        <v>0.05</v>
      </c>
      <c r="F24" s="31">
        <f>D24*(1+E24)</f>
        <v>4190.8019999999997</v>
      </c>
      <c r="G24" s="32" t="s">
        <v>54</v>
      </c>
      <c r="H24" s="69">
        <v>0.4</v>
      </c>
      <c r="I24" s="33">
        <f>H24*F24</f>
        <v>1676.3208</v>
      </c>
      <c r="J24" s="69">
        <v>0.5</v>
      </c>
      <c r="K24" s="33">
        <f>F24*J24</f>
        <v>2095.4009999999998</v>
      </c>
      <c r="L24" s="33">
        <f>K24+I24</f>
        <v>3771.7217999999998</v>
      </c>
      <c r="M24" s="34"/>
      <c r="N24" s="99"/>
    </row>
    <row r="25" spans="1:15" ht="16.5" thickBot="1" x14ac:dyDescent="0.3">
      <c r="A25" s="35">
        <f>IF(F25&lt;&gt;"",1+MAX($A$5:A24),"")</f>
        <v>12</v>
      </c>
      <c r="B25" s="27"/>
      <c r="C25" s="61" t="s">
        <v>53</v>
      </c>
      <c r="D25" s="29">
        <f>((D20*10.34*2)-D30)+(350*2.34*2)</f>
        <v>8421.0399999999991</v>
      </c>
      <c r="E25" s="30">
        <v>0.05</v>
      </c>
      <c r="F25" s="31">
        <f>D25*(1+E25)</f>
        <v>8842.0919999999987</v>
      </c>
      <c r="G25" s="32" t="s">
        <v>54</v>
      </c>
      <c r="H25" s="69">
        <v>1.8</v>
      </c>
      <c r="I25" s="33">
        <f>H25*F25</f>
        <v>15915.765599999999</v>
      </c>
      <c r="J25" s="69">
        <v>0.56000000000000005</v>
      </c>
      <c r="K25" s="33">
        <f>F25*J25</f>
        <v>4951.5715199999995</v>
      </c>
      <c r="L25" s="33">
        <f>K25+I25</f>
        <v>20867.337119999997</v>
      </c>
      <c r="M25" s="34"/>
      <c r="N25" s="99"/>
    </row>
    <row r="26" spans="1:15" ht="16.5" thickBot="1" x14ac:dyDescent="0.3">
      <c r="A26" s="35">
        <f>IF(F26&lt;&gt;"",1+MAX($A$5:A25),"")</f>
        <v>13</v>
      </c>
      <c r="B26" s="27"/>
      <c r="C26" s="28" t="s">
        <v>114</v>
      </c>
      <c r="D26" s="29">
        <f>16*D25/(32)</f>
        <v>4210.5199999999995</v>
      </c>
      <c r="E26" s="30">
        <v>0.05</v>
      </c>
      <c r="F26" s="31">
        <f>D26*(1+E26)</f>
        <v>4421.0459999999994</v>
      </c>
      <c r="G26" s="32" t="s">
        <v>55</v>
      </c>
      <c r="H26" s="79"/>
      <c r="I26" s="80"/>
      <c r="J26" s="69">
        <v>0.02</v>
      </c>
      <c r="K26" s="33">
        <f t="shared" ref="K26:K29" si="6">F26*J26</f>
        <v>88.420919999999995</v>
      </c>
      <c r="L26" s="33">
        <f t="shared" ref="L26:L29" si="7">K26+I26</f>
        <v>88.420919999999995</v>
      </c>
      <c r="M26" s="34"/>
      <c r="N26" s="99"/>
    </row>
    <row r="27" spans="1:15" ht="16.5" thickBot="1" x14ac:dyDescent="0.3">
      <c r="A27" s="35">
        <f>IF(F27&lt;&gt;"",1+MAX($A$5:A26),"")</f>
        <v>14</v>
      </c>
      <c r="B27" s="27"/>
      <c r="C27" s="28" t="s">
        <v>111</v>
      </c>
      <c r="D27" s="29">
        <f>D25</f>
        <v>8421.0399999999991</v>
      </c>
      <c r="E27" s="30">
        <v>0.05</v>
      </c>
      <c r="F27" s="31">
        <f>D27*(1+E27)</f>
        <v>8842.0919999999987</v>
      </c>
      <c r="G27" s="32" t="s">
        <v>54</v>
      </c>
      <c r="H27" s="79"/>
      <c r="I27" s="80"/>
      <c r="J27" s="69">
        <v>0.06</v>
      </c>
      <c r="K27" s="33">
        <f t="shared" si="6"/>
        <v>530.52551999999991</v>
      </c>
      <c r="L27" s="33">
        <f t="shared" si="7"/>
        <v>530.52551999999991</v>
      </c>
      <c r="M27" s="34"/>
      <c r="N27" s="99"/>
    </row>
    <row r="28" spans="1:15" ht="16.5" thickBot="1" x14ac:dyDescent="0.3">
      <c r="A28" s="35">
        <f>IF(F28&lt;&gt;"",1+MAX($A$5:A27),"")</f>
        <v>15</v>
      </c>
      <c r="B28" s="27"/>
      <c r="C28" s="28" t="s">
        <v>112</v>
      </c>
      <c r="D28" s="29">
        <f>D25*1.01</f>
        <v>8505.250399999999</v>
      </c>
      <c r="E28" s="30">
        <v>0.05</v>
      </c>
      <c r="F28" s="31">
        <f>D28*(1+E28)</f>
        <v>8930.5129199999992</v>
      </c>
      <c r="G28" s="32" t="s">
        <v>45</v>
      </c>
      <c r="H28" s="79"/>
      <c r="I28" s="80"/>
      <c r="J28" s="69">
        <v>2.5000000000000001E-2</v>
      </c>
      <c r="K28" s="33">
        <f t="shared" si="6"/>
        <v>223.262823</v>
      </c>
      <c r="L28" s="33">
        <f t="shared" si="7"/>
        <v>223.262823</v>
      </c>
      <c r="M28" s="34"/>
      <c r="N28" s="99"/>
    </row>
    <row r="29" spans="1:15" ht="16.5" thickBot="1" x14ac:dyDescent="0.3">
      <c r="A29" s="35">
        <f>IF(F29&lt;&gt;"",1+MAX($A$5:A28),"")</f>
        <v>16</v>
      </c>
      <c r="B29" s="27"/>
      <c r="C29" s="28" t="s">
        <v>113</v>
      </c>
      <c r="D29" s="29">
        <f>D25*1.5</f>
        <v>12631.559999999998</v>
      </c>
      <c r="E29" s="30">
        <v>0.05</v>
      </c>
      <c r="F29" s="31">
        <f>D29*(1+E29)</f>
        <v>13263.137999999999</v>
      </c>
      <c r="G29" s="32" t="s">
        <v>45</v>
      </c>
      <c r="H29" s="79"/>
      <c r="I29" s="80"/>
      <c r="J29" s="69">
        <v>3.2000000000000001E-2</v>
      </c>
      <c r="K29" s="33">
        <f t="shared" si="6"/>
        <v>424.42041599999999</v>
      </c>
      <c r="L29" s="33">
        <f t="shared" si="7"/>
        <v>424.42041599999999</v>
      </c>
      <c r="M29" s="34"/>
      <c r="N29" s="99"/>
    </row>
    <row r="30" spans="1:15" ht="16.5" thickBot="1" x14ac:dyDescent="0.3">
      <c r="A30" s="35">
        <f>IF(F30&lt;&gt;"",1+MAX($A$5:A29),"")</f>
        <v>17</v>
      </c>
      <c r="B30" s="27"/>
      <c r="C30" s="61" t="s">
        <v>60</v>
      </c>
      <c r="D30" s="29">
        <f>10.34*58*2</f>
        <v>1199.44</v>
      </c>
      <c r="E30" s="30">
        <v>0.05</v>
      </c>
      <c r="F30" s="31">
        <f>D30*(1+E30)</f>
        <v>1259.412</v>
      </c>
      <c r="G30" s="32" t="s">
        <v>54</v>
      </c>
      <c r="H30" s="69">
        <v>1.8</v>
      </c>
      <c r="I30" s="33">
        <f>H30*F30</f>
        <v>2266.9416000000001</v>
      </c>
      <c r="J30" s="69">
        <v>0.7</v>
      </c>
      <c r="K30" s="33">
        <f>F30*J30</f>
        <v>881.58839999999998</v>
      </c>
      <c r="L30" s="33">
        <f>K30+I30</f>
        <v>3148.53</v>
      </c>
      <c r="M30" s="34"/>
      <c r="N30" s="99"/>
    </row>
    <row r="31" spans="1:15" ht="16.5" thickBot="1" x14ac:dyDescent="0.3">
      <c r="A31" s="35">
        <f>IF(F31&lt;&gt;"",1+MAX($A$5:A30),"")</f>
        <v>18</v>
      </c>
      <c r="B31" s="27"/>
      <c r="C31" s="28" t="s">
        <v>114</v>
      </c>
      <c r="D31" s="29">
        <f>16*D30/(32)</f>
        <v>599.72</v>
      </c>
      <c r="E31" s="30">
        <v>0.05</v>
      </c>
      <c r="F31" s="31">
        <f>D31*(1+E31)</f>
        <v>629.70600000000002</v>
      </c>
      <c r="G31" s="32" t="s">
        <v>55</v>
      </c>
      <c r="H31" s="79"/>
      <c r="I31" s="80"/>
      <c r="J31" s="69">
        <v>0.02</v>
      </c>
      <c r="K31" s="33">
        <f t="shared" ref="K31:K34" si="8">F31*J31</f>
        <v>12.59412</v>
      </c>
      <c r="L31" s="33">
        <f t="shared" ref="L31:L34" si="9">K31+I31</f>
        <v>12.59412</v>
      </c>
      <c r="M31" s="34"/>
      <c r="N31" s="99"/>
    </row>
    <row r="32" spans="1:15" ht="16.5" thickBot="1" x14ac:dyDescent="0.3">
      <c r="A32" s="35">
        <f>IF(F32&lt;&gt;"",1+MAX($A$5:A31),"")</f>
        <v>19</v>
      </c>
      <c r="B32" s="27"/>
      <c r="C32" s="28" t="s">
        <v>111</v>
      </c>
      <c r="D32" s="29">
        <f>D30</f>
        <v>1199.44</v>
      </c>
      <c r="E32" s="30">
        <v>0.05</v>
      </c>
      <c r="F32" s="31">
        <f>D32*(1+E32)</f>
        <v>1259.412</v>
      </c>
      <c r="G32" s="32" t="s">
        <v>54</v>
      </c>
      <c r="H32" s="79"/>
      <c r="I32" s="80"/>
      <c r="J32" s="69">
        <v>0.06</v>
      </c>
      <c r="K32" s="33">
        <f t="shared" si="8"/>
        <v>75.564719999999994</v>
      </c>
      <c r="L32" s="33">
        <f t="shared" si="9"/>
        <v>75.564719999999994</v>
      </c>
      <c r="M32" s="34"/>
      <c r="N32" s="99"/>
    </row>
    <row r="33" spans="1:15" ht="16.5" thickBot="1" x14ac:dyDescent="0.3">
      <c r="A33" s="35">
        <f>IF(F33&lt;&gt;"",1+MAX($A$5:A32),"")</f>
        <v>20</v>
      </c>
      <c r="B33" s="27"/>
      <c r="C33" s="28" t="s">
        <v>112</v>
      </c>
      <c r="D33" s="29">
        <f>D30*1.01</f>
        <v>1211.4344000000001</v>
      </c>
      <c r="E33" s="30">
        <v>0.05</v>
      </c>
      <c r="F33" s="31">
        <f>D33*(1+E33)</f>
        <v>1272.0061200000002</v>
      </c>
      <c r="G33" s="32" t="s">
        <v>45</v>
      </c>
      <c r="H33" s="79"/>
      <c r="I33" s="80"/>
      <c r="J33" s="69">
        <v>2.5000000000000001E-2</v>
      </c>
      <c r="K33" s="33">
        <f t="shared" si="8"/>
        <v>31.800153000000009</v>
      </c>
      <c r="L33" s="33">
        <f t="shared" si="9"/>
        <v>31.800153000000009</v>
      </c>
      <c r="M33" s="34"/>
      <c r="N33" s="99"/>
    </row>
    <row r="34" spans="1:15" ht="16.5" thickBot="1" x14ac:dyDescent="0.3">
      <c r="A34" s="35">
        <f>IF(F34&lt;&gt;"",1+MAX($A$5:A33),"")</f>
        <v>21</v>
      </c>
      <c r="B34" s="27"/>
      <c r="C34" s="28" t="s">
        <v>113</v>
      </c>
      <c r="D34" s="29">
        <f>D30*1.5</f>
        <v>1799.16</v>
      </c>
      <c r="E34" s="30">
        <v>0.05</v>
      </c>
      <c r="F34" s="31">
        <f>D34*(1+E34)</f>
        <v>1889.1180000000002</v>
      </c>
      <c r="G34" s="32" t="s">
        <v>45</v>
      </c>
      <c r="H34" s="79"/>
      <c r="I34" s="80"/>
      <c r="J34" s="69">
        <v>3.2000000000000001E-2</v>
      </c>
      <c r="K34" s="33">
        <f t="shared" si="8"/>
        <v>60.45177600000001</v>
      </c>
      <c r="L34" s="33">
        <f t="shared" si="9"/>
        <v>60.45177600000001</v>
      </c>
      <c r="M34" s="34"/>
      <c r="N34" s="99"/>
    </row>
    <row r="35" spans="1:15" ht="16.5" thickBot="1" x14ac:dyDescent="0.3">
      <c r="A35" s="35" t="str">
        <f>IF(F35&lt;&gt;"",1+MAX($A$5:A34),"")</f>
        <v/>
      </c>
      <c r="B35" s="27"/>
      <c r="C35" s="28"/>
      <c r="D35" s="29"/>
      <c r="E35" s="30"/>
      <c r="F35" s="31"/>
      <c r="G35" s="32"/>
      <c r="H35" s="69"/>
      <c r="I35" s="33"/>
      <c r="J35" s="69"/>
      <c r="K35" s="33"/>
      <c r="L35" s="33"/>
      <c r="M35" s="34"/>
      <c r="N35" s="99"/>
    </row>
    <row r="36" spans="1:15" ht="16.5" thickBot="1" x14ac:dyDescent="0.3">
      <c r="A36" s="35" t="str">
        <f>IF(F36&lt;&gt;"",1+MAX($A$5:A35),"")</f>
        <v/>
      </c>
      <c r="B36" s="27"/>
      <c r="C36" s="81" t="s">
        <v>57</v>
      </c>
      <c r="D36" s="60">
        <v>30.83</v>
      </c>
      <c r="E36" s="30"/>
      <c r="F36" s="31"/>
      <c r="G36" s="59" t="s">
        <v>55</v>
      </c>
      <c r="H36" s="69"/>
      <c r="I36" s="33"/>
      <c r="J36" s="69"/>
      <c r="K36" s="33"/>
      <c r="L36" s="33"/>
      <c r="M36" s="34"/>
      <c r="N36" s="99"/>
    </row>
    <row r="37" spans="1:15" ht="16.5" thickBot="1" x14ac:dyDescent="0.3">
      <c r="A37" s="35" t="str">
        <f>IF(F37&lt;&gt;"",1+MAX($A$5:A36),"")</f>
        <v/>
      </c>
      <c r="B37" s="27"/>
      <c r="C37" s="81" t="s">
        <v>49</v>
      </c>
      <c r="D37" s="60">
        <v>14</v>
      </c>
      <c r="E37" s="30"/>
      <c r="F37" s="31"/>
      <c r="G37" s="59" t="s">
        <v>55</v>
      </c>
      <c r="H37" s="69"/>
      <c r="I37" s="33"/>
      <c r="J37" s="69"/>
      <c r="K37" s="33"/>
      <c r="L37" s="33"/>
      <c r="M37" s="34"/>
      <c r="N37" s="99"/>
    </row>
    <row r="38" spans="1:15" ht="16.5" thickBot="1" x14ac:dyDescent="0.3">
      <c r="A38" s="35">
        <f>IF(F38&lt;&gt;"",1+MAX($A$5:A37),"")</f>
        <v>22</v>
      </c>
      <c r="B38" s="27"/>
      <c r="C38" s="28" t="s">
        <v>56</v>
      </c>
      <c r="D38" s="29">
        <f>ROUNDUP(1+D36/2,0)</f>
        <v>17</v>
      </c>
      <c r="E38" s="30">
        <v>0.05</v>
      </c>
      <c r="F38" s="31">
        <f>D38*(1+E38)</f>
        <v>17.850000000000001</v>
      </c>
      <c r="G38" s="32" t="s">
        <v>45</v>
      </c>
      <c r="H38" s="69">
        <f>2.14*14</f>
        <v>29.96</v>
      </c>
      <c r="I38" s="33">
        <f>H38*F38</f>
        <v>534.78600000000006</v>
      </c>
      <c r="J38" s="69">
        <f>3.2*14</f>
        <v>44.800000000000004</v>
      </c>
      <c r="K38" s="33">
        <f>F38*J38</f>
        <v>799.68000000000018</v>
      </c>
      <c r="L38" s="33">
        <f>K38+I38</f>
        <v>1334.4660000000003</v>
      </c>
      <c r="M38" s="34"/>
      <c r="N38" s="99"/>
    </row>
    <row r="39" spans="1:15" ht="16.5" thickBot="1" x14ac:dyDescent="0.3">
      <c r="A39" s="35">
        <f>IF(F39&lt;&gt;"",1+MAX($A$5:A38),"")</f>
        <v>23</v>
      </c>
      <c r="B39" s="27"/>
      <c r="C39" s="28" t="s">
        <v>64</v>
      </c>
      <c r="D39" s="29">
        <f>ROUNDUP(D36*3/10,0)</f>
        <v>10</v>
      </c>
      <c r="E39" s="30">
        <v>0.05</v>
      </c>
      <c r="F39" s="31">
        <f>D39*(1+E39)</f>
        <v>10.5</v>
      </c>
      <c r="G39" s="32" t="s">
        <v>45</v>
      </c>
      <c r="H39" s="69">
        <f>2.14*10</f>
        <v>21.400000000000002</v>
      </c>
      <c r="I39" s="33">
        <f>H39*F39</f>
        <v>224.70000000000002</v>
      </c>
      <c r="J39" s="69">
        <f>3.2*10</f>
        <v>32</v>
      </c>
      <c r="K39" s="33">
        <f>F39*J39</f>
        <v>336</v>
      </c>
      <c r="L39" s="33">
        <f>K39+I39</f>
        <v>560.70000000000005</v>
      </c>
      <c r="M39" s="34"/>
      <c r="N39" s="99"/>
    </row>
    <row r="40" spans="1:15" ht="16.5" thickBot="1" x14ac:dyDescent="0.3">
      <c r="A40" s="35">
        <f>IF(F40&lt;&gt;"",1+MAX($A$5:A39),"")</f>
        <v>24</v>
      </c>
      <c r="B40" s="27"/>
      <c r="C40" s="28" t="s">
        <v>52</v>
      </c>
      <c r="D40" s="29">
        <f>D36*10.34</f>
        <v>318.78219999999999</v>
      </c>
      <c r="E40" s="30">
        <v>0.05</v>
      </c>
      <c r="F40" s="31">
        <f>D40*(1+E40)</f>
        <v>334.72131000000002</v>
      </c>
      <c r="G40" s="32" t="s">
        <v>54</v>
      </c>
      <c r="H40" s="69">
        <v>0.4</v>
      </c>
      <c r="I40" s="33">
        <f>H40*F40</f>
        <v>133.88852400000002</v>
      </c>
      <c r="J40" s="69">
        <v>0.5</v>
      </c>
      <c r="K40" s="33">
        <f>F40*J40</f>
        <v>167.36065500000001</v>
      </c>
      <c r="L40" s="33">
        <f>K40+I40</f>
        <v>301.24917900000003</v>
      </c>
      <c r="M40" s="34"/>
      <c r="N40" s="99"/>
    </row>
    <row r="41" spans="1:15" ht="16.5" thickBot="1" x14ac:dyDescent="0.3">
      <c r="A41" s="35">
        <f>IF(F41&lt;&gt;"",1+MAX($A$5:A40),"")</f>
        <v>25</v>
      </c>
      <c r="B41" s="27"/>
      <c r="C41" s="61" t="s">
        <v>53</v>
      </c>
      <c r="D41" s="29">
        <f>D36*10.34*2</f>
        <v>637.56439999999998</v>
      </c>
      <c r="E41" s="30">
        <v>0.05</v>
      </c>
      <c r="F41" s="31">
        <f>D41*(1+E41)</f>
        <v>669.44262000000003</v>
      </c>
      <c r="G41" s="32" t="s">
        <v>54</v>
      </c>
      <c r="H41" s="69">
        <v>1.8</v>
      </c>
      <c r="I41" s="33">
        <f>H41*F41</f>
        <v>1204.9967160000001</v>
      </c>
      <c r="J41" s="69">
        <v>0.56000000000000005</v>
      </c>
      <c r="K41" s="33">
        <f>F41*J41</f>
        <v>374.88786720000007</v>
      </c>
      <c r="L41" s="33">
        <f>K41+I41</f>
        <v>1579.8845832000002</v>
      </c>
      <c r="M41" s="34"/>
      <c r="N41" s="99"/>
    </row>
    <row r="42" spans="1:15" ht="16.5" thickBot="1" x14ac:dyDescent="0.3">
      <c r="A42" s="35">
        <f>IF(F42&lt;&gt;"",1+MAX($A$5:A41),"")</f>
        <v>26</v>
      </c>
      <c r="B42" s="27"/>
      <c r="C42" s="28" t="s">
        <v>114</v>
      </c>
      <c r="D42" s="29">
        <f>16*D41/(32)</f>
        <v>318.78219999999999</v>
      </c>
      <c r="E42" s="30">
        <v>0.05</v>
      </c>
      <c r="F42" s="31">
        <f>D42*(1+E42)</f>
        <v>334.72131000000002</v>
      </c>
      <c r="G42" s="32" t="s">
        <v>55</v>
      </c>
      <c r="H42" s="79"/>
      <c r="I42" s="80"/>
      <c r="J42" s="69">
        <v>0.02</v>
      </c>
      <c r="K42" s="33">
        <f t="shared" ref="K42:K45" si="10">F42*J42</f>
        <v>6.6944262000000005</v>
      </c>
      <c r="L42" s="33">
        <f t="shared" ref="L42:L45" si="11">K42+I42</f>
        <v>6.6944262000000005</v>
      </c>
      <c r="M42" s="34"/>
      <c r="N42" s="99"/>
    </row>
    <row r="43" spans="1:15" ht="16.5" thickBot="1" x14ac:dyDescent="0.3">
      <c r="A43" s="35">
        <f>IF(F43&lt;&gt;"",1+MAX($A$5:A42),"")</f>
        <v>27</v>
      </c>
      <c r="B43" s="27"/>
      <c r="C43" s="28" t="s">
        <v>111</v>
      </c>
      <c r="D43" s="29">
        <f>D41</f>
        <v>637.56439999999998</v>
      </c>
      <c r="E43" s="30">
        <v>0.05</v>
      </c>
      <c r="F43" s="31">
        <f>D43*(1+E43)</f>
        <v>669.44262000000003</v>
      </c>
      <c r="G43" s="32" t="s">
        <v>54</v>
      </c>
      <c r="H43" s="79"/>
      <c r="I43" s="80"/>
      <c r="J43" s="69">
        <v>0.06</v>
      </c>
      <c r="K43" s="33">
        <f t="shared" si="10"/>
        <v>40.1665572</v>
      </c>
      <c r="L43" s="33">
        <f t="shared" si="11"/>
        <v>40.1665572</v>
      </c>
      <c r="M43" s="34"/>
      <c r="N43" s="99"/>
    </row>
    <row r="44" spans="1:15" ht="16.5" thickBot="1" x14ac:dyDescent="0.3">
      <c r="A44" s="35">
        <f>IF(F44&lt;&gt;"",1+MAX($A$5:A43),"")</f>
        <v>28</v>
      </c>
      <c r="B44" s="27"/>
      <c r="C44" s="28" t="s">
        <v>112</v>
      </c>
      <c r="D44" s="29">
        <f>D41*1.01</f>
        <v>643.94004399999994</v>
      </c>
      <c r="E44" s="30">
        <v>0.05</v>
      </c>
      <c r="F44" s="31">
        <f>D44*(1+E44)</f>
        <v>676.13704619999999</v>
      </c>
      <c r="G44" s="32" t="s">
        <v>45</v>
      </c>
      <c r="H44" s="79"/>
      <c r="I44" s="80"/>
      <c r="J44" s="69">
        <v>2.5000000000000001E-2</v>
      </c>
      <c r="K44" s="33">
        <f t="shared" si="10"/>
        <v>16.903426155000002</v>
      </c>
      <c r="L44" s="33">
        <f t="shared" si="11"/>
        <v>16.903426155000002</v>
      </c>
      <c r="M44" s="34"/>
      <c r="N44" s="99"/>
    </row>
    <row r="45" spans="1:15" ht="16.5" thickBot="1" x14ac:dyDescent="0.3">
      <c r="A45" s="35">
        <f>IF(F45&lt;&gt;"",1+MAX($A$5:A44),"")</f>
        <v>29</v>
      </c>
      <c r="B45" s="27"/>
      <c r="C45" s="28" t="s">
        <v>113</v>
      </c>
      <c r="D45" s="29">
        <f>D41*1.5</f>
        <v>956.34659999999997</v>
      </c>
      <c r="E45" s="30">
        <v>0.05</v>
      </c>
      <c r="F45" s="31">
        <f>D45*(1+E45)</f>
        <v>1004.1639300000001</v>
      </c>
      <c r="G45" s="32" t="s">
        <v>45</v>
      </c>
      <c r="H45" s="79"/>
      <c r="I45" s="80"/>
      <c r="J45" s="69">
        <v>3.2000000000000001E-2</v>
      </c>
      <c r="K45" s="33">
        <f t="shared" si="10"/>
        <v>32.133245760000001</v>
      </c>
      <c r="L45" s="33">
        <f t="shared" si="11"/>
        <v>32.133245760000001</v>
      </c>
      <c r="M45" s="34"/>
      <c r="N45" s="99"/>
    </row>
    <row r="46" spans="1:15" ht="16.5" thickBot="1" x14ac:dyDescent="0.3">
      <c r="A46" s="35" t="str">
        <f>IF(F46&lt;&gt;"",1+MAX($A$5:A45),"")</f>
        <v/>
      </c>
      <c r="B46" s="27"/>
      <c r="C46" s="28"/>
      <c r="D46" s="29"/>
      <c r="E46" s="30"/>
      <c r="F46" s="31"/>
      <c r="G46" s="32"/>
      <c r="H46" s="69"/>
      <c r="I46" s="33"/>
      <c r="J46" s="69"/>
      <c r="K46" s="33"/>
      <c r="L46" s="33"/>
      <c r="M46" s="34"/>
      <c r="N46" s="99"/>
    </row>
    <row r="47" spans="1:15" ht="16.5" thickBot="1" x14ac:dyDescent="0.3">
      <c r="A47" s="35" t="str">
        <f>IF(F47&lt;&gt;"",1+MAX($A$5:A46),"")</f>
        <v/>
      </c>
      <c r="B47" s="27"/>
      <c r="C47" s="81" t="s">
        <v>37</v>
      </c>
      <c r="D47" s="60">
        <v>171</v>
      </c>
      <c r="E47" s="30"/>
      <c r="F47" s="31"/>
      <c r="G47" s="59" t="s">
        <v>55</v>
      </c>
      <c r="H47" s="69"/>
      <c r="I47" s="33"/>
      <c r="J47" s="69"/>
      <c r="K47" s="33"/>
      <c r="L47" s="33"/>
      <c r="M47" s="34"/>
      <c r="N47" s="99"/>
      <c r="O47" s="101"/>
    </row>
    <row r="48" spans="1:15" ht="16.5" thickBot="1" x14ac:dyDescent="0.3">
      <c r="A48" s="35" t="str">
        <f>IF(F48&lt;&gt;"",1+MAX($A$5:A47),"")</f>
        <v/>
      </c>
      <c r="B48" s="27"/>
      <c r="C48" s="81" t="s">
        <v>49</v>
      </c>
      <c r="D48" s="60">
        <v>14</v>
      </c>
      <c r="E48" s="30"/>
      <c r="F48" s="31"/>
      <c r="G48" s="59" t="s">
        <v>55</v>
      </c>
      <c r="H48" s="69"/>
      <c r="I48" s="33"/>
      <c r="J48" s="69"/>
      <c r="K48" s="33"/>
      <c r="L48" s="33"/>
      <c r="M48" s="34"/>
      <c r="N48" s="99"/>
    </row>
    <row r="49" spans="1:15" ht="16.5" thickBot="1" x14ac:dyDescent="0.3">
      <c r="A49" s="35">
        <f>IF(F49&lt;&gt;"",1+MAX($A$5:A48),"")</f>
        <v>30</v>
      </c>
      <c r="B49" s="27"/>
      <c r="C49" s="28" t="s">
        <v>50</v>
      </c>
      <c r="D49" s="29">
        <f>ROUNDUP(1+D47/2,0)</f>
        <v>87</v>
      </c>
      <c r="E49" s="30">
        <v>0.05</v>
      </c>
      <c r="F49" s="31">
        <f>D49*(1+E49)</f>
        <v>91.350000000000009</v>
      </c>
      <c r="G49" s="32" t="s">
        <v>45</v>
      </c>
      <c r="H49" s="69">
        <v>21</v>
      </c>
      <c r="I49" s="33">
        <f>H49*F49</f>
        <v>1918.3500000000001</v>
      </c>
      <c r="J49" s="69">
        <v>33</v>
      </c>
      <c r="K49" s="33">
        <f>F49*J49</f>
        <v>3014.55</v>
      </c>
      <c r="L49" s="33">
        <f>K49+I49</f>
        <v>4932.9000000000005</v>
      </c>
      <c r="M49" s="34"/>
      <c r="N49" s="99"/>
    </row>
    <row r="50" spans="1:15" ht="16.5" thickBot="1" x14ac:dyDescent="0.3">
      <c r="A50" s="35">
        <f>IF(F50&lt;&gt;"",1+MAX($A$5:A49),"")</f>
        <v>31</v>
      </c>
      <c r="B50" s="27"/>
      <c r="C50" s="28" t="s">
        <v>65</v>
      </c>
      <c r="D50" s="29">
        <f>ROUNDUP(D47*3/10,0)</f>
        <v>52</v>
      </c>
      <c r="E50" s="30">
        <v>0.05</v>
      </c>
      <c r="F50" s="31">
        <f>D50*(1+E50)</f>
        <v>54.6</v>
      </c>
      <c r="G50" s="32" t="s">
        <v>45</v>
      </c>
      <c r="H50" s="69">
        <v>15</v>
      </c>
      <c r="I50" s="33">
        <f>H50*F50</f>
        <v>819</v>
      </c>
      <c r="J50" s="69">
        <v>23.6</v>
      </c>
      <c r="K50" s="33">
        <f>F50*J50</f>
        <v>1288.5600000000002</v>
      </c>
      <c r="L50" s="33">
        <f>K50+I50</f>
        <v>2107.5600000000004</v>
      </c>
      <c r="M50" s="34"/>
      <c r="N50" s="99"/>
    </row>
    <row r="51" spans="1:15" ht="16.5" thickBot="1" x14ac:dyDescent="0.3">
      <c r="A51" s="35">
        <f>IF(F51&lt;&gt;"",1+MAX($A$5:A50),"")</f>
        <v>32</v>
      </c>
      <c r="B51" s="27"/>
      <c r="C51" s="28" t="s">
        <v>52</v>
      </c>
      <c r="D51" s="29">
        <f>D47*10.34</f>
        <v>1768.1399999999999</v>
      </c>
      <c r="E51" s="30">
        <v>0.05</v>
      </c>
      <c r="F51" s="31">
        <f>D51*(1+E51)</f>
        <v>1856.547</v>
      </c>
      <c r="G51" s="32" t="s">
        <v>54</v>
      </c>
      <c r="H51" s="69">
        <v>0.4</v>
      </c>
      <c r="I51" s="33">
        <f>H51*F51</f>
        <v>742.61880000000008</v>
      </c>
      <c r="J51" s="69">
        <v>0.5</v>
      </c>
      <c r="K51" s="33">
        <f>F51*J51</f>
        <v>928.27350000000001</v>
      </c>
      <c r="L51" s="33">
        <f>K51+I51</f>
        <v>1670.8923</v>
      </c>
      <c r="M51" s="34"/>
      <c r="N51" s="99"/>
    </row>
    <row r="52" spans="1:15" ht="16.5" thickBot="1" x14ac:dyDescent="0.3">
      <c r="A52" s="35">
        <f>IF(F52&lt;&gt;"",1+MAX($A$5:A51),"")</f>
        <v>33</v>
      </c>
      <c r="B52" s="27"/>
      <c r="C52" s="61" t="s">
        <v>53</v>
      </c>
      <c r="D52" s="29">
        <f>(D48*D47*2)-D57</f>
        <v>2800</v>
      </c>
      <c r="E52" s="30">
        <v>0.05</v>
      </c>
      <c r="F52" s="31">
        <f>D52*(1+E52)</f>
        <v>2940</v>
      </c>
      <c r="G52" s="32" t="s">
        <v>54</v>
      </c>
      <c r="H52" s="69">
        <v>1.8</v>
      </c>
      <c r="I52" s="33">
        <f>H52*F52</f>
        <v>5292</v>
      </c>
      <c r="J52" s="69">
        <v>0.56000000000000005</v>
      </c>
      <c r="K52" s="33">
        <f>F52*J52</f>
        <v>1646.4</v>
      </c>
      <c r="L52" s="33">
        <f>K52+I52</f>
        <v>6938.4</v>
      </c>
      <c r="M52" s="34"/>
      <c r="N52" s="99"/>
    </row>
    <row r="53" spans="1:15" ht="16.5" thickBot="1" x14ac:dyDescent="0.3">
      <c r="A53" s="35">
        <f>IF(F53&lt;&gt;"",1+MAX($A$5:A52),"")</f>
        <v>34</v>
      </c>
      <c r="B53" s="27"/>
      <c r="C53" s="28" t="s">
        <v>114</v>
      </c>
      <c r="D53" s="29">
        <f>16*D52/(32)</f>
        <v>1400</v>
      </c>
      <c r="E53" s="30">
        <v>0.05</v>
      </c>
      <c r="F53" s="31">
        <f>D53*(1+E53)</f>
        <v>1470</v>
      </c>
      <c r="G53" s="32" t="s">
        <v>55</v>
      </c>
      <c r="H53" s="79"/>
      <c r="I53" s="80"/>
      <c r="J53" s="69">
        <v>0.02</v>
      </c>
      <c r="K53" s="33">
        <f t="shared" ref="K53:K56" si="12">F53*J53</f>
        <v>29.400000000000002</v>
      </c>
      <c r="L53" s="33">
        <f t="shared" ref="L53:L56" si="13">K53+I53</f>
        <v>29.400000000000002</v>
      </c>
      <c r="M53" s="34"/>
      <c r="N53" s="99"/>
    </row>
    <row r="54" spans="1:15" ht="16.5" thickBot="1" x14ac:dyDescent="0.3">
      <c r="A54" s="35">
        <f>IF(F54&lt;&gt;"",1+MAX($A$5:A53),"")</f>
        <v>35</v>
      </c>
      <c r="B54" s="27"/>
      <c r="C54" s="28" t="s">
        <v>111</v>
      </c>
      <c r="D54" s="29">
        <f>D52</f>
        <v>2800</v>
      </c>
      <c r="E54" s="30">
        <v>0.05</v>
      </c>
      <c r="F54" s="31">
        <f>D54*(1+E54)</f>
        <v>2940</v>
      </c>
      <c r="G54" s="32" t="s">
        <v>54</v>
      </c>
      <c r="H54" s="79"/>
      <c r="I54" s="80"/>
      <c r="J54" s="69">
        <v>0.06</v>
      </c>
      <c r="K54" s="33">
        <f t="shared" si="12"/>
        <v>176.4</v>
      </c>
      <c r="L54" s="33">
        <f t="shared" si="13"/>
        <v>176.4</v>
      </c>
      <c r="M54" s="34"/>
      <c r="N54" s="99"/>
    </row>
    <row r="55" spans="1:15" ht="16.5" thickBot="1" x14ac:dyDescent="0.3">
      <c r="A55" s="35">
        <f>IF(F55&lt;&gt;"",1+MAX($A$5:A54),"")</f>
        <v>36</v>
      </c>
      <c r="B55" s="27"/>
      <c r="C55" s="28" t="s">
        <v>112</v>
      </c>
      <c r="D55" s="29">
        <f>D52*1.01</f>
        <v>2828</v>
      </c>
      <c r="E55" s="30">
        <v>0.05</v>
      </c>
      <c r="F55" s="31">
        <f>D55*(1+E55)</f>
        <v>2969.4</v>
      </c>
      <c r="G55" s="32" t="s">
        <v>45</v>
      </c>
      <c r="H55" s="79"/>
      <c r="I55" s="80"/>
      <c r="J55" s="69">
        <v>2.5000000000000001E-2</v>
      </c>
      <c r="K55" s="33">
        <f t="shared" si="12"/>
        <v>74.234999999999999</v>
      </c>
      <c r="L55" s="33">
        <f t="shared" si="13"/>
        <v>74.234999999999999</v>
      </c>
      <c r="M55" s="34"/>
      <c r="N55" s="99"/>
    </row>
    <row r="56" spans="1:15" ht="16.5" thickBot="1" x14ac:dyDescent="0.3">
      <c r="A56" s="35">
        <f>IF(F56&lt;&gt;"",1+MAX($A$5:A55),"")</f>
        <v>37</v>
      </c>
      <c r="B56" s="27"/>
      <c r="C56" s="28" t="s">
        <v>113</v>
      </c>
      <c r="D56" s="29">
        <f>D52*1.5</f>
        <v>4200</v>
      </c>
      <c r="E56" s="30">
        <v>0.05</v>
      </c>
      <c r="F56" s="31">
        <f>D56*(1+E56)</f>
        <v>4410</v>
      </c>
      <c r="G56" s="32" t="s">
        <v>45</v>
      </c>
      <c r="H56" s="79"/>
      <c r="I56" s="80"/>
      <c r="J56" s="69">
        <v>3.2000000000000001E-2</v>
      </c>
      <c r="K56" s="33">
        <f t="shared" si="12"/>
        <v>141.12</v>
      </c>
      <c r="L56" s="33">
        <f t="shared" si="13"/>
        <v>141.12</v>
      </c>
      <c r="M56" s="34"/>
      <c r="N56" s="99"/>
    </row>
    <row r="57" spans="1:15" ht="16.5" thickBot="1" x14ac:dyDescent="0.3">
      <c r="A57" s="35">
        <f>IF(F57&lt;&gt;"",1+MAX($A$5:A56),"")</f>
        <v>38</v>
      </c>
      <c r="B57" s="27"/>
      <c r="C57" s="61" t="s">
        <v>60</v>
      </c>
      <c r="D57" s="29">
        <f>(D48*71*2)</f>
        <v>1988</v>
      </c>
      <c r="E57" s="30">
        <v>0.05</v>
      </c>
      <c r="F57" s="31">
        <f>D57*(1+E57)</f>
        <v>2087.4</v>
      </c>
      <c r="G57" s="32" t="s">
        <v>54</v>
      </c>
      <c r="H57" s="69">
        <v>1.8</v>
      </c>
      <c r="I57" s="33">
        <f>H57*F57</f>
        <v>3757.32</v>
      </c>
      <c r="J57" s="69">
        <v>0.7</v>
      </c>
      <c r="K57" s="33">
        <f>F57*J57</f>
        <v>1461.18</v>
      </c>
      <c r="L57" s="33">
        <f>K57+I57</f>
        <v>5218.5</v>
      </c>
      <c r="M57" s="34"/>
      <c r="N57" s="99"/>
    </row>
    <row r="58" spans="1:15" ht="16.5" thickBot="1" x14ac:dyDescent="0.3">
      <c r="A58" s="35">
        <f>IF(F58&lt;&gt;"",1+MAX($A$5:A57),"")</f>
        <v>39</v>
      </c>
      <c r="B58" s="27"/>
      <c r="C58" s="28" t="s">
        <v>114</v>
      </c>
      <c r="D58" s="29">
        <f>16*D57/(32)</f>
        <v>994</v>
      </c>
      <c r="E58" s="30">
        <v>0.05</v>
      </c>
      <c r="F58" s="31">
        <f>D58*(1+E58)</f>
        <v>1043.7</v>
      </c>
      <c r="G58" s="32" t="s">
        <v>55</v>
      </c>
      <c r="H58" s="79"/>
      <c r="I58" s="80"/>
      <c r="J58" s="69">
        <v>0.02</v>
      </c>
      <c r="K58" s="33">
        <f t="shared" ref="K58:K61" si="14">F58*J58</f>
        <v>20.874000000000002</v>
      </c>
      <c r="L58" s="33">
        <f t="shared" ref="L58:L61" si="15">K58+I58</f>
        <v>20.874000000000002</v>
      </c>
      <c r="M58" s="34"/>
      <c r="N58" s="99"/>
    </row>
    <row r="59" spans="1:15" ht="16.5" thickBot="1" x14ac:dyDescent="0.3">
      <c r="A59" s="35">
        <f>IF(F59&lt;&gt;"",1+MAX($A$5:A58),"")</f>
        <v>40</v>
      </c>
      <c r="B59" s="27"/>
      <c r="C59" s="28" t="s">
        <v>111</v>
      </c>
      <c r="D59" s="29">
        <f>D57</f>
        <v>1988</v>
      </c>
      <c r="E59" s="30">
        <v>0.05</v>
      </c>
      <c r="F59" s="31">
        <f>D59*(1+E59)</f>
        <v>2087.4</v>
      </c>
      <c r="G59" s="32" t="s">
        <v>54</v>
      </c>
      <c r="H59" s="79"/>
      <c r="I59" s="80"/>
      <c r="J59" s="69">
        <v>0.06</v>
      </c>
      <c r="K59" s="33">
        <f t="shared" si="14"/>
        <v>125.244</v>
      </c>
      <c r="L59" s="33">
        <f t="shared" si="15"/>
        <v>125.244</v>
      </c>
      <c r="M59" s="34"/>
      <c r="N59" s="99"/>
    </row>
    <row r="60" spans="1:15" ht="16.5" thickBot="1" x14ac:dyDescent="0.3">
      <c r="A60" s="35">
        <f>IF(F60&lt;&gt;"",1+MAX($A$5:A59),"")</f>
        <v>41</v>
      </c>
      <c r="B60" s="27"/>
      <c r="C60" s="28" t="s">
        <v>112</v>
      </c>
      <c r="D60" s="29">
        <f>D57*1.01</f>
        <v>2007.88</v>
      </c>
      <c r="E60" s="30">
        <v>0.05</v>
      </c>
      <c r="F60" s="31">
        <f>D60*(1+E60)</f>
        <v>2108.2740000000003</v>
      </c>
      <c r="G60" s="32" t="s">
        <v>45</v>
      </c>
      <c r="H60" s="79"/>
      <c r="I60" s="80"/>
      <c r="J60" s="69">
        <v>2.5000000000000001E-2</v>
      </c>
      <c r="K60" s="33">
        <f t="shared" si="14"/>
        <v>52.70685000000001</v>
      </c>
      <c r="L60" s="33">
        <f t="shared" si="15"/>
        <v>52.70685000000001</v>
      </c>
      <c r="M60" s="34"/>
      <c r="N60" s="99"/>
    </row>
    <row r="61" spans="1:15" ht="16.5" thickBot="1" x14ac:dyDescent="0.3">
      <c r="A61" s="35">
        <f>IF(F61&lt;&gt;"",1+MAX($A$5:A60),"")</f>
        <v>42</v>
      </c>
      <c r="B61" s="27"/>
      <c r="C61" s="28" t="s">
        <v>113</v>
      </c>
      <c r="D61" s="29">
        <f>D57*1.5</f>
        <v>2982</v>
      </c>
      <c r="E61" s="30">
        <v>0.05</v>
      </c>
      <c r="F61" s="31">
        <f>D61*(1+E61)</f>
        <v>3131.1</v>
      </c>
      <c r="G61" s="32" t="s">
        <v>45</v>
      </c>
      <c r="H61" s="79"/>
      <c r="I61" s="80"/>
      <c r="J61" s="69">
        <v>3.2000000000000001E-2</v>
      </c>
      <c r="K61" s="33">
        <f t="shared" si="14"/>
        <v>100.1952</v>
      </c>
      <c r="L61" s="33">
        <f t="shared" si="15"/>
        <v>100.1952</v>
      </c>
      <c r="M61" s="34"/>
      <c r="N61" s="99"/>
    </row>
    <row r="62" spans="1:15" ht="16.5" thickBot="1" x14ac:dyDescent="0.3">
      <c r="A62" s="35" t="str">
        <f>IF(F62&lt;&gt;"",1+MAX($A$5:A61),"")</f>
        <v/>
      </c>
      <c r="B62" s="27"/>
      <c r="C62" s="28"/>
      <c r="D62" s="29"/>
      <c r="E62" s="30"/>
      <c r="F62" s="31"/>
      <c r="G62" s="32"/>
      <c r="H62" s="69"/>
      <c r="I62" s="33"/>
      <c r="J62" s="69"/>
      <c r="K62" s="33"/>
      <c r="L62" s="33"/>
      <c r="M62" s="34"/>
      <c r="N62" s="99"/>
    </row>
    <row r="63" spans="1:15" ht="16.5" thickBot="1" x14ac:dyDescent="0.3">
      <c r="A63" s="35" t="str">
        <f>IF(F63&lt;&gt;"",1+MAX($A$5:A62),"")</f>
        <v/>
      </c>
      <c r="B63" s="27"/>
      <c r="C63" s="81" t="s">
        <v>38</v>
      </c>
      <c r="D63" s="60">
        <v>337</v>
      </c>
      <c r="E63" s="30"/>
      <c r="F63" s="31"/>
      <c r="G63" s="59" t="s">
        <v>55</v>
      </c>
      <c r="H63" s="69"/>
      <c r="I63" s="33"/>
      <c r="J63" s="69"/>
      <c r="K63" s="33"/>
      <c r="L63" s="33"/>
      <c r="M63" s="34"/>
      <c r="N63" s="99"/>
    </row>
    <row r="64" spans="1:15" ht="16.5" thickBot="1" x14ac:dyDescent="0.3">
      <c r="A64" s="35" t="str">
        <f>IF(F64&lt;&gt;"",1+MAX($A$5:A63),"")</f>
        <v/>
      </c>
      <c r="B64" s="27"/>
      <c r="C64" s="81" t="s">
        <v>49</v>
      </c>
      <c r="D64" s="60">
        <v>14</v>
      </c>
      <c r="E64" s="30"/>
      <c r="F64" s="31"/>
      <c r="G64" s="59" t="s">
        <v>55</v>
      </c>
      <c r="H64" s="69"/>
      <c r="I64" s="33"/>
      <c r="J64" s="69"/>
      <c r="K64" s="33"/>
      <c r="L64" s="33"/>
      <c r="M64" s="34"/>
      <c r="N64" s="99"/>
      <c r="O64" s="101"/>
    </row>
    <row r="65" spans="1:14" ht="16.5" thickBot="1" x14ac:dyDescent="0.3">
      <c r="A65" s="35">
        <f>IF(F65&lt;&gt;"",1+MAX($A$5:A64),"")</f>
        <v>43</v>
      </c>
      <c r="B65" s="27"/>
      <c r="C65" s="28" t="s">
        <v>56</v>
      </c>
      <c r="D65" s="29">
        <f>ROUNDUP(1+D63/2,0)</f>
        <v>170</v>
      </c>
      <c r="E65" s="30">
        <v>0.05</v>
      </c>
      <c r="F65" s="31">
        <f>D65*(1+E65)</f>
        <v>178.5</v>
      </c>
      <c r="G65" s="32" t="s">
        <v>45</v>
      </c>
      <c r="H65" s="69">
        <v>29.96</v>
      </c>
      <c r="I65" s="33">
        <f>H65*F65</f>
        <v>5347.8600000000006</v>
      </c>
      <c r="J65" s="69">
        <v>44.8</v>
      </c>
      <c r="K65" s="33">
        <f>F65*J65</f>
        <v>7996.7999999999993</v>
      </c>
      <c r="L65" s="33">
        <f>K65+I65</f>
        <v>13344.66</v>
      </c>
      <c r="M65" s="34"/>
      <c r="N65" s="99"/>
    </row>
    <row r="66" spans="1:14" ht="16.5" thickBot="1" x14ac:dyDescent="0.3">
      <c r="A66" s="35">
        <f>IF(F66&lt;&gt;"",1+MAX($A$5:A65),"")</f>
        <v>44</v>
      </c>
      <c r="B66" s="27"/>
      <c r="C66" s="28" t="s">
        <v>64</v>
      </c>
      <c r="D66" s="29">
        <f>ROUNDUP(D63*3/10,0)</f>
        <v>102</v>
      </c>
      <c r="E66" s="30">
        <v>0.05</v>
      </c>
      <c r="F66" s="31">
        <f>D66*(1+E66)</f>
        <v>107.10000000000001</v>
      </c>
      <c r="G66" s="32" t="s">
        <v>45</v>
      </c>
      <c r="H66" s="69">
        <v>21.4</v>
      </c>
      <c r="I66" s="33">
        <f>H66*F66</f>
        <v>2291.94</v>
      </c>
      <c r="J66" s="69">
        <v>32</v>
      </c>
      <c r="K66" s="33">
        <f>F66*J66</f>
        <v>3427.2000000000003</v>
      </c>
      <c r="L66" s="33">
        <f>K66+I66</f>
        <v>5719.14</v>
      </c>
      <c r="M66" s="34"/>
      <c r="N66" s="99"/>
    </row>
    <row r="67" spans="1:14" ht="16.5" thickBot="1" x14ac:dyDescent="0.3">
      <c r="A67" s="35">
        <f>IF(F67&lt;&gt;"",1+MAX($A$5:A66),"")</f>
        <v>45</v>
      </c>
      <c r="B67" s="27"/>
      <c r="C67" s="61" t="s">
        <v>53</v>
      </c>
      <c r="D67" s="29">
        <f>(D63*D64*2)-D72</f>
        <v>7756</v>
      </c>
      <c r="E67" s="30">
        <v>0.05</v>
      </c>
      <c r="F67" s="31">
        <f>D67*(1+E67)</f>
        <v>8143.8</v>
      </c>
      <c r="G67" s="32" t="s">
        <v>54</v>
      </c>
      <c r="H67" s="69">
        <v>1.8</v>
      </c>
      <c r="I67" s="33">
        <f>H67*F67</f>
        <v>14658.84</v>
      </c>
      <c r="J67" s="69">
        <v>0.56000000000000005</v>
      </c>
      <c r="K67" s="33">
        <f>F67*J67</f>
        <v>4560.5280000000002</v>
      </c>
      <c r="L67" s="33">
        <f>K67+I67</f>
        <v>19219.368000000002</v>
      </c>
      <c r="M67" s="34"/>
      <c r="N67" s="99"/>
    </row>
    <row r="68" spans="1:14" ht="16.5" thickBot="1" x14ac:dyDescent="0.3">
      <c r="A68" s="35">
        <f>IF(F68&lt;&gt;"",1+MAX($A$5:A67),"")</f>
        <v>46</v>
      </c>
      <c r="B68" s="27"/>
      <c r="C68" s="28" t="s">
        <v>114</v>
      </c>
      <c r="D68" s="29">
        <f>16*D67/(32)</f>
        <v>3878</v>
      </c>
      <c r="E68" s="30">
        <v>0.05</v>
      </c>
      <c r="F68" s="31">
        <f>D68*(1+E68)</f>
        <v>4071.9</v>
      </c>
      <c r="G68" s="32" t="s">
        <v>55</v>
      </c>
      <c r="H68" s="79"/>
      <c r="I68" s="80"/>
      <c r="J68" s="69">
        <v>0.02</v>
      </c>
      <c r="K68" s="33">
        <f t="shared" ref="K68:K71" si="16">F68*J68</f>
        <v>81.438000000000002</v>
      </c>
      <c r="L68" s="33">
        <f t="shared" ref="L68:L71" si="17">K68+I68</f>
        <v>81.438000000000002</v>
      </c>
      <c r="M68" s="34"/>
      <c r="N68" s="99"/>
    </row>
    <row r="69" spans="1:14" ht="16.5" thickBot="1" x14ac:dyDescent="0.3">
      <c r="A69" s="35">
        <f>IF(F69&lt;&gt;"",1+MAX($A$5:A68),"")</f>
        <v>47</v>
      </c>
      <c r="B69" s="27"/>
      <c r="C69" s="28" t="s">
        <v>111</v>
      </c>
      <c r="D69" s="29">
        <f>D67</f>
        <v>7756</v>
      </c>
      <c r="E69" s="30">
        <v>0.05</v>
      </c>
      <c r="F69" s="31">
        <f>D69*(1+E69)</f>
        <v>8143.8</v>
      </c>
      <c r="G69" s="32" t="s">
        <v>54</v>
      </c>
      <c r="H69" s="79"/>
      <c r="I69" s="80"/>
      <c r="J69" s="69">
        <v>0.06</v>
      </c>
      <c r="K69" s="33">
        <f t="shared" si="16"/>
        <v>488.62799999999999</v>
      </c>
      <c r="L69" s="33">
        <f t="shared" si="17"/>
        <v>488.62799999999999</v>
      </c>
      <c r="M69" s="34"/>
      <c r="N69" s="99"/>
    </row>
    <row r="70" spans="1:14" ht="16.5" thickBot="1" x14ac:dyDescent="0.3">
      <c r="A70" s="35">
        <f>IF(F70&lt;&gt;"",1+MAX($A$5:A69),"")</f>
        <v>48</v>
      </c>
      <c r="B70" s="27"/>
      <c r="C70" s="28" t="s">
        <v>112</v>
      </c>
      <c r="D70" s="29">
        <f>D67*1.01</f>
        <v>7833.56</v>
      </c>
      <c r="E70" s="30">
        <v>0.05</v>
      </c>
      <c r="F70" s="31">
        <f>D70*(1+E70)</f>
        <v>8225.2380000000012</v>
      </c>
      <c r="G70" s="32" t="s">
        <v>45</v>
      </c>
      <c r="H70" s="79"/>
      <c r="I70" s="80"/>
      <c r="J70" s="69">
        <v>2.5000000000000001E-2</v>
      </c>
      <c r="K70" s="33">
        <f t="shared" si="16"/>
        <v>205.63095000000004</v>
      </c>
      <c r="L70" s="33">
        <f t="shared" si="17"/>
        <v>205.63095000000004</v>
      </c>
      <c r="M70" s="34"/>
      <c r="N70" s="99"/>
    </row>
    <row r="71" spans="1:14" ht="16.5" thickBot="1" x14ac:dyDescent="0.3">
      <c r="A71" s="35">
        <f>IF(F71&lt;&gt;"",1+MAX($A$5:A70),"")</f>
        <v>49</v>
      </c>
      <c r="B71" s="27"/>
      <c r="C71" s="28" t="s">
        <v>113</v>
      </c>
      <c r="D71" s="29">
        <f>D67*1.5</f>
        <v>11634</v>
      </c>
      <c r="E71" s="30">
        <v>0.05</v>
      </c>
      <c r="F71" s="31">
        <f>D71*(1+E71)</f>
        <v>12215.7</v>
      </c>
      <c r="G71" s="32" t="s">
        <v>45</v>
      </c>
      <c r="H71" s="79"/>
      <c r="I71" s="80"/>
      <c r="J71" s="69">
        <v>3.2000000000000001E-2</v>
      </c>
      <c r="K71" s="33">
        <f t="shared" si="16"/>
        <v>390.90240000000006</v>
      </c>
      <c r="L71" s="33">
        <f t="shared" si="17"/>
        <v>390.90240000000006</v>
      </c>
      <c r="M71" s="34"/>
      <c r="N71" s="99"/>
    </row>
    <row r="72" spans="1:14" ht="16.5" thickBot="1" x14ac:dyDescent="0.3">
      <c r="A72" s="35">
        <f>IF(F72&lt;&gt;"",1+MAX($A$5:A71),"")</f>
        <v>50</v>
      </c>
      <c r="B72" s="27"/>
      <c r="C72" s="61" t="s">
        <v>60</v>
      </c>
      <c r="D72" s="29">
        <f>D64*60*2</f>
        <v>1680</v>
      </c>
      <c r="E72" s="30">
        <v>0.05</v>
      </c>
      <c r="F72" s="31">
        <f>D72*(1+E72)</f>
        <v>1764</v>
      </c>
      <c r="G72" s="32" t="s">
        <v>54</v>
      </c>
      <c r="H72" s="69">
        <v>1.8</v>
      </c>
      <c r="I72" s="33">
        <f>H72*F72</f>
        <v>3175.2000000000003</v>
      </c>
      <c r="J72" s="69">
        <v>0.7</v>
      </c>
      <c r="K72" s="33">
        <f>F72*J72</f>
        <v>1234.8</v>
      </c>
      <c r="L72" s="33">
        <f>K72+I72</f>
        <v>4410</v>
      </c>
      <c r="M72" s="34"/>
      <c r="N72" s="99"/>
    </row>
    <row r="73" spans="1:14" ht="16.5" thickBot="1" x14ac:dyDescent="0.3">
      <c r="A73" s="35">
        <f>IF(F73&lt;&gt;"",1+MAX($A$5:A72),"")</f>
        <v>51</v>
      </c>
      <c r="B73" s="27"/>
      <c r="C73" s="28" t="s">
        <v>114</v>
      </c>
      <c r="D73" s="29">
        <f>16*D72/(32)</f>
        <v>840</v>
      </c>
      <c r="E73" s="30">
        <v>0.05</v>
      </c>
      <c r="F73" s="31">
        <f>D73*(1+E73)</f>
        <v>882</v>
      </c>
      <c r="G73" s="32" t="s">
        <v>55</v>
      </c>
      <c r="H73" s="79"/>
      <c r="I73" s="80"/>
      <c r="J73" s="69">
        <v>0.02</v>
      </c>
      <c r="K73" s="33">
        <f t="shared" ref="K73:K76" si="18">F73*J73</f>
        <v>17.64</v>
      </c>
      <c r="L73" s="33">
        <f t="shared" ref="L73:L76" si="19">K73+I73</f>
        <v>17.64</v>
      </c>
      <c r="M73" s="34"/>
      <c r="N73" s="99"/>
    </row>
    <row r="74" spans="1:14" ht="16.5" thickBot="1" x14ac:dyDescent="0.3">
      <c r="A74" s="35">
        <f>IF(F74&lt;&gt;"",1+MAX($A$5:A73),"")</f>
        <v>52</v>
      </c>
      <c r="B74" s="27"/>
      <c r="C74" s="28" t="s">
        <v>111</v>
      </c>
      <c r="D74" s="29">
        <f>D72</f>
        <v>1680</v>
      </c>
      <c r="E74" s="30">
        <v>0.05</v>
      </c>
      <c r="F74" s="31">
        <f>D74*(1+E74)</f>
        <v>1764</v>
      </c>
      <c r="G74" s="32" t="s">
        <v>54</v>
      </c>
      <c r="H74" s="79"/>
      <c r="I74" s="80"/>
      <c r="J74" s="69">
        <v>0.06</v>
      </c>
      <c r="K74" s="33">
        <f t="shared" si="18"/>
        <v>105.83999999999999</v>
      </c>
      <c r="L74" s="33">
        <f t="shared" si="19"/>
        <v>105.83999999999999</v>
      </c>
      <c r="M74" s="34"/>
      <c r="N74" s="99"/>
    </row>
    <row r="75" spans="1:14" ht="16.5" thickBot="1" x14ac:dyDescent="0.3">
      <c r="A75" s="35">
        <f>IF(F75&lt;&gt;"",1+MAX($A$5:A74),"")</f>
        <v>53</v>
      </c>
      <c r="B75" s="27"/>
      <c r="C75" s="28" t="s">
        <v>112</v>
      </c>
      <c r="D75" s="29">
        <f>D72*1.01</f>
        <v>1696.8</v>
      </c>
      <c r="E75" s="30">
        <v>0.05</v>
      </c>
      <c r="F75" s="31">
        <f>D75*(1+E75)</f>
        <v>1781.64</v>
      </c>
      <c r="G75" s="32" t="s">
        <v>45</v>
      </c>
      <c r="H75" s="79"/>
      <c r="I75" s="80"/>
      <c r="J75" s="69">
        <v>2.5000000000000001E-2</v>
      </c>
      <c r="K75" s="33">
        <f t="shared" si="18"/>
        <v>44.541000000000004</v>
      </c>
      <c r="L75" s="33">
        <f t="shared" si="19"/>
        <v>44.541000000000004</v>
      </c>
      <c r="M75" s="34"/>
      <c r="N75" s="99"/>
    </row>
    <row r="76" spans="1:14" ht="16.5" thickBot="1" x14ac:dyDescent="0.3">
      <c r="A76" s="35">
        <f>IF(F76&lt;&gt;"",1+MAX($A$5:A75),"")</f>
        <v>54</v>
      </c>
      <c r="B76" s="27"/>
      <c r="C76" s="28" t="s">
        <v>113</v>
      </c>
      <c r="D76" s="29">
        <f>D72*1.5</f>
        <v>2520</v>
      </c>
      <c r="E76" s="30">
        <v>0.05</v>
      </c>
      <c r="F76" s="31">
        <f>D76*(1+E76)</f>
        <v>2646</v>
      </c>
      <c r="G76" s="32" t="s">
        <v>45</v>
      </c>
      <c r="H76" s="79"/>
      <c r="I76" s="80"/>
      <c r="J76" s="69">
        <v>3.2000000000000001E-2</v>
      </c>
      <c r="K76" s="33">
        <f t="shared" si="18"/>
        <v>84.671999999999997</v>
      </c>
      <c r="L76" s="33">
        <f t="shared" si="19"/>
        <v>84.671999999999997</v>
      </c>
      <c r="M76" s="34"/>
      <c r="N76" s="99"/>
    </row>
    <row r="77" spans="1:14" ht="16.5" thickBot="1" x14ac:dyDescent="0.3">
      <c r="A77" s="35" t="str">
        <f>IF(F77&lt;&gt;"",1+MAX($A$5:A76),"")</f>
        <v/>
      </c>
      <c r="B77" s="27"/>
      <c r="C77" s="28"/>
      <c r="D77" s="29"/>
      <c r="E77" s="30"/>
      <c r="F77" s="31"/>
      <c r="G77" s="32"/>
      <c r="H77" s="69"/>
      <c r="I77" s="33"/>
      <c r="J77" s="69"/>
      <c r="K77" s="33"/>
      <c r="L77" s="33"/>
      <c r="M77" s="34"/>
      <c r="N77" s="99"/>
    </row>
    <row r="78" spans="1:14" ht="16.5" thickBot="1" x14ac:dyDescent="0.3">
      <c r="A78" s="35" t="str">
        <f>IF(F78&lt;&gt;"",1+MAX($A$5:A77),"")</f>
        <v/>
      </c>
      <c r="B78" s="27"/>
      <c r="C78" s="81" t="s">
        <v>39</v>
      </c>
      <c r="D78" s="60">
        <v>25.81</v>
      </c>
      <c r="E78" s="30"/>
      <c r="F78" s="31"/>
      <c r="G78" s="59" t="s">
        <v>55</v>
      </c>
      <c r="H78" s="69"/>
      <c r="I78" s="33"/>
      <c r="J78" s="69"/>
      <c r="K78" s="33"/>
      <c r="L78" s="33"/>
      <c r="M78" s="34"/>
      <c r="N78" s="99"/>
    </row>
    <row r="79" spans="1:14" ht="16.5" thickBot="1" x14ac:dyDescent="0.3">
      <c r="A79" s="35" t="str">
        <f>IF(F79&lt;&gt;"",1+MAX($A$5:A78),"")</f>
        <v/>
      </c>
      <c r="B79" s="27"/>
      <c r="C79" s="81" t="s">
        <v>49</v>
      </c>
      <c r="D79" s="60">
        <v>14</v>
      </c>
      <c r="E79" s="30"/>
      <c r="F79" s="31"/>
      <c r="G79" s="59" t="s">
        <v>55</v>
      </c>
      <c r="H79" s="69"/>
      <c r="I79" s="33"/>
      <c r="J79" s="69"/>
      <c r="K79" s="33"/>
      <c r="L79" s="33"/>
      <c r="M79" s="34"/>
      <c r="N79" s="99"/>
    </row>
    <row r="80" spans="1:14" ht="16.5" thickBot="1" x14ac:dyDescent="0.3">
      <c r="A80" s="35">
        <f>IF(F80&lt;&gt;"",1+MAX($A$5:A79),"")</f>
        <v>55</v>
      </c>
      <c r="B80" s="27"/>
      <c r="C80" s="28" t="s">
        <v>58</v>
      </c>
      <c r="D80" s="29">
        <f>ROUNDUP(1+D78/2,0)</f>
        <v>14</v>
      </c>
      <c r="E80" s="30">
        <v>0.05</v>
      </c>
      <c r="F80" s="31">
        <f>D80*(1+E80)</f>
        <v>14.700000000000001</v>
      </c>
      <c r="G80" s="32" t="s">
        <v>45</v>
      </c>
      <c r="H80" s="69">
        <f>3.55*14</f>
        <v>49.699999999999996</v>
      </c>
      <c r="I80" s="33">
        <f>H80*F80</f>
        <v>730.59</v>
      </c>
      <c r="J80" s="69">
        <f>4.13*14</f>
        <v>57.82</v>
      </c>
      <c r="K80" s="33">
        <f>F80*J80</f>
        <v>849.95400000000006</v>
      </c>
      <c r="L80" s="33">
        <f>K80+I80</f>
        <v>1580.5440000000001</v>
      </c>
      <c r="M80" s="34"/>
      <c r="N80" s="99"/>
    </row>
    <row r="81" spans="1:14" ht="16.5" thickBot="1" x14ac:dyDescent="0.3">
      <c r="A81" s="35">
        <f>IF(F81&lt;&gt;"",1+MAX($A$5:A80),"")</f>
        <v>56</v>
      </c>
      <c r="B81" s="27"/>
      <c r="C81" s="28" t="s">
        <v>66</v>
      </c>
      <c r="D81" s="29">
        <f>ROUNDUP(D78*3/10,0)</f>
        <v>8</v>
      </c>
      <c r="E81" s="30">
        <v>0.05</v>
      </c>
      <c r="F81" s="31">
        <f>D81*(1+E81)</f>
        <v>8.4</v>
      </c>
      <c r="G81" s="32" t="s">
        <v>45</v>
      </c>
      <c r="H81" s="69">
        <v>27.3</v>
      </c>
      <c r="I81" s="33">
        <f>H81*F81</f>
        <v>229.32000000000002</v>
      </c>
      <c r="J81" s="69">
        <v>39.1</v>
      </c>
      <c r="K81" s="33">
        <f>F81*J81</f>
        <v>328.44</v>
      </c>
      <c r="L81" s="33">
        <f>K81+I81</f>
        <v>557.76</v>
      </c>
      <c r="M81" s="34"/>
      <c r="N81" s="99"/>
    </row>
    <row r="82" spans="1:14" ht="16.5" thickBot="1" x14ac:dyDescent="0.3">
      <c r="A82" s="35">
        <f>IF(F82&lt;&gt;"",1+MAX($A$5:A81),"")</f>
        <v>57</v>
      </c>
      <c r="B82" s="27"/>
      <c r="C82" s="28" t="s">
        <v>52</v>
      </c>
      <c r="D82" s="29">
        <f>D78*10.34</f>
        <v>266.87539999999996</v>
      </c>
      <c r="E82" s="30">
        <v>0.05</v>
      </c>
      <c r="F82" s="31">
        <f>D82*(1+E82)</f>
        <v>280.21916999999996</v>
      </c>
      <c r="G82" s="32" t="s">
        <v>54</v>
      </c>
      <c r="H82" s="69">
        <v>0.4</v>
      </c>
      <c r="I82" s="33">
        <f>H82*F82</f>
        <v>112.08766799999999</v>
      </c>
      <c r="J82" s="69">
        <v>0.5</v>
      </c>
      <c r="K82" s="33">
        <f>F82*J82</f>
        <v>140.10958499999998</v>
      </c>
      <c r="L82" s="33">
        <f>K82+I82</f>
        <v>252.19725299999999</v>
      </c>
      <c r="M82" s="34"/>
      <c r="N82" s="99"/>
    </row>
    <row r="83" spans="1:14" ht="16.5" thickBot="1" x14ac:dyDescent="0.3">
      <c r="A83" s="35">
        <f>IF(F83&lt;&gt;"",1+MAX($A$5:A82),"")</f>
        <v>58</v>
      </c>
      <c r="B83" s="27"/>
      <c r="C83" s="61" t="s">
        <v>60</v>
      </c>
      <c r="D83" s="29">
        <f>D78*D79*2</f>
        <v>722.68</v>
      </c>
      <c r="E83" s="30">
        <v>0.05</v>
      </c>
      <c r="F83" s="31">
        <f>D83*(1+E83)</f>
        <v>758.81399999999996</v>
      </c>
      <c r="G83" s="32" t="s">
        <v>54</v>
      </c>
      <c r="H83" s="69">
        <v>1.8</v>
      </c>
      <c r="I83" s="33">
        <f>H83*F83</f>
        <v>1365.8652</v>
      </c>
      <c r="J83" s="69">
        <v>0.7</v>
      </c>
      <c r="K83" s="33">
        <f>F83*J83</f>
        <v>531.1697999999999</v>
      </c>
      <c r="L83" s="33">
        <f>K83+I83</f>
        <v>1897.0349999999999</v>
      </c>
      <c r="M83" s="34"/>
      <c r="N83" s="99"/>
    </row>
    <row r="84" spans="1:14" ht="16.5" thickBot="1" x14ac:dyDescent="0.3">
      <c r="A84" s="35">
        <f>IF(F84&lt;&gt;"",1+MAX($A$5:A83),"")</f>
        <v>59</v>
      </c>
      <c r="B84" s="27"/>
      <c r="C84" s="28" t="s">
        <v>114</v>
      </c>
      <c r="D84" s="29">
        <f>16*D83/(32)</f>
        <v>361.34</v>
      </c>
      <c r="E84" s="30">
        <v>0.05</v>
      </c>
      <c r="F84" s="31">
        <f>D84*(1+E84)</f>
        <v>379.40699999999998</v>
      </c>
      <c r="G84" s="32" t="s">
        <v>55</v>
      </c>
      <c r="H84" s="79"/>
      <c r="I84" s="80"/>
      <c r="J84" s="69">
        <v>0.02</v>
      </c>
      <c r="K84" s="33">
        <f t="shared" ref="K84:K87" si="20">F84*J84</f>
        <v>7.5881400000000001</v>
      </c>
      <c r="L84" s="33">
        <f t="shared" ref="L84:L87" si="21">K84+I84</f>
        <v>7.5881400000000001</v>
      </c>
      <c r="M84" s="34"/>
      <c r="N84" s="99"/>
    </row>
    <row r="85" spans="1:14" ht="16.5" thickBot="1" x14ac:dyDescent="0.3">
      <c r="A85" s="35">
        <f>IF(F85&lt;&gt;"",1+MAX($A$5:A84),"")</f>
        <v>60</v>
      </c>
      <c r="B85" s="27"/>
      <c r="C85" s="28" t="s">
        <v>111</v>
      </c>
      <c r="D85" s="29">
        <f>D83</f>
        <v>722.68</v>
      </c>
      <c r="E85" s="30">
        <v>0.05</v>
      </c>
      <c r="F85" s="31">
        <f>D85*(1+E85)</f>
        <v>758.81399999999996</v>
      </c>
      <c r="G85" s="32" t="s">
        <v>54</v>
      </c>
      <c r="H85" s="79"/>
      <c r="I85" s="80"/>
      <c r="J85" s="69">
        <v>0.06</v>
      </c>
      <c r="K85" s="33">
        <f t="shared" si="20"/>
        <v>45.528839999999995</v>
      </c>
      <c r="L85" s="33">
        <f t="shared" si="21"/>
        <v>45.528839999999995</v>
      </c>
      <c r="M85" s="34"/>
      <c r="N85" s="99"/>
    </row>
    <row r="86" spans="1:14" ht="16.5" thickBot="1" x14ac:dyDescent="0.3">
      <c r="A86" s="35">
        <f>IF(F86&lt;&gt;"",1+MAX($A$5:A85),"")</f>
        <v>61</v>
      </c>
      <c r="B86" s="27"/>
      <c r="C86" s="28" t="s">
        <v>112</v>
      </c>
      <c r="D86" s="29">
        <f>D83*1.01</f>
        <v>729.90679999999998</v>
      </c>
      <c r="E86" s="30">
        <v>0.05</v>
      </c>
      <c r="F86" s="31">
        <f>D86*(1+E86)</f>
        <v>766.40214000000003</v>
      </c>
      <c r="G86" s="32" t="s">
        <v>45</v>
      </c>
      <c r="H86" s="79"/>
      <c r="I86" s="80"/>
      <c r="J86" s="69">
        <v>2.5000000000000001E-2</v>
      </c>
      <c r="K86" s="33">
        <f t="shared" si="20"/>
        <v>19.1600535</v>
      </c>
      <c r="L86" s="33">
        <f t="shared" si="21"/>
        <v>19.1600535</v>
      </c>
      <c r="M86" s="34"/>
      <c r="N86" s="99"/>
    </row>
    <row r="87" spans="1:14" ht="16.5" thickBot="1" x14ac:dyDescent="0.3">
      <c r="A87" s="35">
        <f>IF(F87&lt;&gt;"",1+MAX($A$5:A86),"")</f>
        <v>62</v>
      </c>
      <c r="B87" s="27"/>
      <c r="C87" s="28" t="s">
        <v>113</v>
      </c>
      <c r="D87" s="29">
        <f>D83*1.5</f>
        <v>1084.02</v>
      </c>
      <c r="E87" s="30">
        <v>0.05</v>
      </c>
      <c r="F87" s="31">
        <f>D87*(1+E87)</f>
        <v>1138.221</v>
      </c>
      <c r="G87" s="32" t="s">
        <v>45</v>
      </c>
      <c r="H87" s="79"/>
      <c r="I87" s="80"/>
      <c r="J87" s="69">
        <v>3.2000000000000001E-2</v>
      </c>
      <c r="K87" s="33">
        <f t="shared" si="20"/>
        <v>36.423071999999998</v>
      </c>
      <c r="L87" s="33">
        <f t="shared" si="21"/>
        <v>36.423071999999998</v>
      </c>
      <c r="M87" s="34"/>
      <c r="N87" s="99"/>
    </row>
    <row r="88" spans="1:14" ht="16.5" thickBot="1" x14ac:dyDescent="0.3">
      <c r="A88" s="35" t="str">
        <f>IF(F88&lt;&gt;"",1+MAX($A$5:A87),"")</f>
        <v/>
      </c>
      <c r="B88" s="27"/>
      <c r="C88" s="28"/>
      <c r="D88" s="29"/>
      <c r="E88" s="30"/>
      <c r="F88" s="31"/>
      <c r="G88" s="32"/>
      <c r="H88" s="69"/>
      <c r="I88" s="33"/>
      <c r="J88" s="69"/>
      <c r="K88" s="33"/>
      <c r="L88" s="33"/>
      <c r="M88" s="34"/>
      <c r="N88" s="99"/>
    </row>
    <row r="89" spans="1:14" ht="29.25" thickBot="1" x14ac:dyDescent="0.3">
      <c r="A89" s="35" t="str">
        <f>IF(F89&lt;&gt;"",1+MAX($A$5:A88),"")</f>
        <v/>
      </c>
      <c r="B89" s="27"/>
      <c r="C89" s="81" t="s">
        <v>59</v>
      </c>
      <c r="D89" s="60">
        <v>17.25</v>
      </c>
      <c r="E89" s="30"/>
      <c r="F89" s="31"/>
      <c r="G89" s="59" t="s">
        <v>55</v>
      </c>
      <c r="H89" s="69"/>
      <c r="I89" s="33"/>
      <c r="J89" s="69"/>
      <c r="K89" s="33"/>
      <c r="L89" s="33"/>
      <c r="M89" s="34"/>
      <c r="N89" s="99"/>
    </row>
    <row r="90" spans="1:14" ht="16.5" thickBot="1" x14ac:dyDescent="0.3">
      <c r="A90" s="35" t="str">
        <f>IF(F90&lt;&gt;"",1+MAX($A$5:A89),"")</f>
        <v/>
      </c>
      <c r="B90" s="27"/>
      <c r="C90" s="81" t="s">
        <v>49</v>
      </c>
      <c r="D90" s="60">
        <v>14</v>
      </c>
      <c r="E90" s="30"/>
      <c r="F90" s="31"/>
      <c r="G90" s="59" t="s">
        <v>55</v>
      </c>
      <c r="H90" s="69"/>
      <c r="I90" s="33"/>
      <c r="J90" s="69"/>
      <c r="K90" s="33"/>
      <c r="L90" s="33"/>
      <c r="M90" s="34"/>
      <c r="N90" s="99"/>
    </row>
    <row r="91" spans="1:14" ht="16.5" thickBot="1" x14ac:dyDescent="0.3">
      <c r="A91" s="35">
        <f>IF(F91&lt;&gt;"",1+MAX($A$5:A90),"")</f>
        <v>63</v>
      </c>
      <c r="B91" s="27"/>
      <c r="C91" s="28" t="s">
        <v>50</v>
      </c>
      <c r="D91" s="29">
        <f>ROUNDUP((1+D89+59)/2,0)</f>
        <v>39</v>
      </c>
      <c r="E91" s="30">
        <v>0.05</v>
      </c>
      <c r="F91" s="31">
        <f>D91*(1+E91)</f>
        <v>40.950000000000003</v>
      </c>
      <c r="G91" s="32" t="s">
        <v>45</v>
      </c>
      <c r="H91" s="69">
        <v>21</v>
      </c>
      <c r="I91" s="33">
        <f>H91*F91</f>
        <v>859.95</v>
      </c>
      <c r="J91" s="69">
        <v>33</v>
      </c>
      <c r="K91" s="33">
        <f>F91*J91</f>
        <v>1351.3500000000001</v>
      </c>
      <c r="L91" s="33">
        <f>K91+I91</f>
        <v>2211.3000000000002</v>
      </c>
      <c r="M91" s="34"/>
      <c r="N91" s="99"/>
    </row>
    <row r="92" spans="1:14" ht="16.5" thickBot="1" x14ac:dyDescent="0.3">
      <c r="A92" s="35">
        <f>IF(F92&lt;&gt;"",1+MAX($A$5:A91),"")</f>
        <v>64</v>
      </c>
      <c r="B92" s="27"/>
      <c r="C92" s="28" t="s">
        <v>65</v>
      </c>
      <c r="D92" s="29">
        <f>ROUNDUP(((D89+59)*3)/10,0)</f>
        <v>23</v>
      </c>
      <c r="E92" s="30">
        <v>0.05</v>
      </c>
      <c r="F92" s="31">
        <f>D92*(1+E92)</f>
        <v>24.150000000000002</v>
      </c>
      <c r="G92" s="32" t="s">
        <v>45</v>
      </c>
      <c r="H92" s="69">
        <v>15</v>
      </c>
      <c r="I92" s="33">
        <f>H92*F92</f>
        <v>362.25000000000006</v>
      </c>
      <c r="J92" s="69">
        <v>23.6</v>
      </c>
      <c r="K92" s="33">
        <f>F92*J92</f>
        <v>569.94000000000005</v>
      </c>
      <c r="L92" s="33">
        <f>K92+I92</f>
        <v>932.19</v>
      </c>
      <c r="M92" s="34"/>
      <c r="N92" s="99"/>
    </row>
    <row r="93" spans="1:14" ht="16.5" thickBot="1" x14ac:dyDescent="0.3">
      <c r="A93" s="35">
        <f>IF(F93&lt;&gt;"",1+MAX($A$5:A92),"")</f>
        <v>65</v>
      </c>
      <c r="B93" s="27"/>
      <c r="C93" s="28" t="s">
        <v>52</v>
      </c>
      <c r="D93" s="29">
        <f>D89*10.34</f>
        <v>178.36500000000001</v>
      </c>
      <c r="E93" s="30">
        <v>0.05</v>
      </c>
      <c r="F93" s="31">
        <f>D93*(1+E93)</f>
        <v>187.28325000000001</v>
      </c>
      <c r="G93" s="32" t="s">
        <v>54</v>
      </c>
      <c r="H93" s="69">
        <v>0.4</v>
      </c>
      <c r="I93" s="33">
        <f>H93*F93</f>
        <v>74.913300000000007</v>
      </c>
      <c r="J93" s="69">
        <v>0.5</v>
      </c>
      <c r="K93" s="33">
        <f>F93*J93</f>
        <v>93.641625000000005</v>
      </c>
      <c r="L93" s="33">
        <f>K93+I93</f>
        <v>168.55492500000003</v>
      </c>
      <c r="M93" s="34"/>
      <c r="N93" s="99"/>
    </row>
    <row r="94" spans="1:14" ht="16.5" thickBot="1" x14ac:dyDescent="0.3">
      <c r="A94" s="35">
        <f>IF(F94&lt;&gt;"",1+MAX($A$5:A93),"")</f>
        <v>66</v>
      </c>
      <c r="B94" s="27"/>
      <c r="C94" s="61" t="s">
        <v>53</v>
      </c>
      <c r="D94" s="29">
        <f>(D89*D90*2)+(59*2*5.6)</f>
        <v>1143.8</v>
      </c>
      <c r="E94" s="30">
        <v>0.05</v>
      </c>
      <c r="F94" s="31">
        <f>D94*(1+E94)</f>
        <v>1200.99</v>
      </c>
      <c r="G94" s="32" t="s">
        <v>54</v>
      </c>
      <c r="H94" s="69">
        <v>1.8</v>
      </c>
      <c r="I94" s="33">
        <f>H94*F94</f>
        <v>2161.7820000000002</v>
      </c>
      <c r="J94" s="69">
        <v>0.56000000000000005</v>
      </c>
      <c r="K94" s="33">
        <f>F94*J94</f>
        <v>672.5544000000001</v>
      </c>
      <c r="L94" s="33">
        <f>K94+I94</f>
        <v>2834.3364000000001</v>
      </c>
      <c r="M94" s="34"/>
      <c r="N94" s="99"/>
    </row>
    <row r="95" spans="1:14" ht="16.5" thickBot="1" x14ac:dyDescent="0.3">
      <c r="A95" s="35">
        <f>IF(F95&lt;&gt;"",1+MAX($A$5:A94),"")</f>
        <v>67</v>
      </c>
      <c r="B95" s="27"/>
      <c r="C95" s="28" t="s">
        <v>114</v>
      </c>
      <c r="D95" s="29">
        <f>16*D94/(32)</f>
        <v>571.9</v>
      </c>
      <c r="E95" s="30">
        <v>0.05</v>
      </c>
      <c r="F95" s="31">
        <f>D95*(1+E95)</f>
        <v>600.495</v>
      </c>
      <c r="G95" s="32" t="s">
        <v>55</v>
      </c>
      <c r="H95" s="79"/>
      <c r="I95" s="80"/>
      <c r="J95" s="69">
        <v>0.02</v>
      </c>
      <c r="K95" s="33">
        <f t="shared" ref="K95:K98" si="22">F95*J95</f>
        <v>12.0099</v>
      </c>
      <c r="L95" s="33">
        <f t="shared" ref="L95:L98" si="23">K95+I95</f>
        <v>12.0099</v>
      </c>
      <c r="M95" s="34"/>
      <c r="N95" s="99"/>
    </row>
    <row r="96" spans="1:14" ht="16.5" thickBot="1" x14ac:dyDescent="0.3">
      <c r="A96" s="35">
        <f>IF(F96&lt;&gt;"",1+MAX($A$5:A95),"")</f>
        <v>68</v>
      </c>
      <c r="B96" s="27"/>
      <c r="C96" s="28" t="s">
        <v>111</v>
      </c>
      <c r="D96" s="29">
        <f>D94</f>
        <v>1143.8</v>
      </c>
      <c r="E96" s="30">
        <v>0.05</v>
      </c>
      <c r="F96" s="31">
        <f>D96*(1+E96)</f>
        <v>1200.99</v>
      </c>
      <c r="G96" s="32" t="s">
        <v>54</v>
      </c>
      <c r="H96" s="79"/>
      <c r="I96" s="80"/>
      <c r="J96" s="69">
        <v>0.06</v>
      </c>
      <c r="K96" s="33">
        <f t="shared" si="22"/>
        <v>72.059399999999997</v>
      </c>
      <c r="L96" s="33">
        <f t="shared" si="23"/>
        <v>72.059399999999997</v>
      </c>
      <c r="M96" s="34"/>
      <c r="N96" s="99"/>
    </row>
    <row r="97" spans="1:15" ht="16.5" thickBot="1" x14ac:dyDescent="0.3">
      <c r="A97" s="35">
        <f>IF(F97&lt;&gt;"",1+MAX($A$5:A96),"")</f>
        <v>69</v>
      </c>
      <c r="B97" s="27"/>
      <c r="C97" s="28" t="s">
        <v>112</v>
      </c>
      <c r="D97" s="29">
        <f>D94*1.01</f>
        <v>1155.2380000000001</v>
      </c>
      <c r="E97" s="30">
        <v>0.05</v>
      </c>
      <c r="F97" s="31">
        <f>D97*(1+E97)</f>
        <v>1212.9999</v>
      </c>
      <c r="G97" s="32" t="s">
        <v>45</v>
      </c>
      <c r="H97" s="79"/>
      <c r="I97" s="80"/>
      <c r="J97" s="69">
        <v>2.5000000000000001E-2</v>
      </c>
      <c r="K97" s="33">
        <f t="shared" si="22"/>
        <v>30.324997500000002</v>
      </c>
      <c r="L97" s="33">
        <f t="shared" si="23"/>
        <v>30.324997500000002</v>
      </c>
      <c r="M97" s="34"/>
      <c r="N97" s="99"/>
    </row>
    <row r="98" spans="1:15" ht="16.5" thickBot="1" x14ac:dyDescent="0.3">
      <c r="A98" s="35">
        <f>IF(F98&lt;&gt;"",1+MAX($A$5:A97),"")</f>
        <v>70</v>
      </c>
      <c r="B98" s="27"/>
      <c r="C98" s="28" t="s">
        <v>113</v>
      </c>
      <c r="D98" s="29">
        <f>D94*1.5</f>
        <v>1715.6999999999998</v>
      </c>
      <c r="E98" s="30">
        <v>0.05</v>
      </c>
      <c r="F98" s="31">
        <f>D98*(1+E98)</f>
        <v>1801.4849999999999</v>
      </c>
      <c r="G98" s="32" t="s">
        <v>45</v>
      </c>
      <c r="H98" s="79"/>
      <c r="I98" s="80"/>
      <c r="J98" s="69">
        <v>3.2000000000000001E-2</v>
      </c>
      <c r="K98" s="33">
        <f t="shared" si="22"/>
        <v>57.64752</v>
      </c>
      <c r="L98" s="33">
        <f t="shared" si="23"/>
        <v>57.64752</v>
      </c>
      <c r="M98" s="34"/>
      <c r="N98" s="99"/>
    </row>
    <row r="99" spans="1:15" ht="16.5" thickBot="1" x14ac:dyDescent="0.3">
      <c r="A99" s="35" t="str">
        <f>IF(F99&lt;&gt;"",1+MAX($A$5:A98),"")</f>
        <v/>
      </c>
      <c r="B99" s="27"/>
      <c r="C99" s="28"/>
      <c r="D99" s="29"/>
      <c r="E99" s="30"/>
      <c r="F99" s="31"/>
      <c r="G99" s="32"/>
      <c r="H99" s="69"/>
      <c r="I99" s="33"/>
      <c r="J99" s="69"/>
      <c r="K99" s="33"/>
      <c r="L99" s="33"/>
      <c r="M99" s="34"/>
      <c r="N99" s="99"/>
    </row>
    <row r="100" spans="1:15" ht="16.5" thickBot="1" x14ac:dyDescent="0.3">
      <c r="A100" s="35" t="str">
        <f>IF(F100&lt;&gt;"",1+MAX($A$5:A99),"")</f>
        <v/>
      </c>
      <c r="B100" s="27"/>
      <c r="C100" s="81" t="s">
        <v>40</v>
      </c>
      <c r="D100" s="60">
        <v>245</v>
      </c>
      <c r="E100" s="30"/>
      <c r="F100" s="31"/>
      <c r="G100" s="59" t="s">
        <v>55</v>
      </c>
      <c r="H100" s="69"/>
      <c r="I100" s="33"/>
      <c r="J100" s="69"/>
      <c r="K100" s="33"/>
      <c r="L100" s="33"/>
      <c r="M100" s="34"/>
      <c r="N100" s="99"/>
    </row>
    <row r="101" spans="1:15" ht="16.5" thickBot="1" x14ac:dyDescent="0.3">
      <c r="A101" s="35" t="str">
        <f>IF(F101&lt;&gt;"",1+MAX($A$5:A100),"")</f>
        <v/>
      </c>
      <c r="B101" s="27"/>
      <c r="C101" s="81" t="s">
        <v>49</v>
      </c>
      <c r="D101" s="60">
        <v>14</v>
      </c>
      <c r="E101" s="30"/>
      <c r="F101" s="31"/>
      <c r="G101" s="59" t="s">
        <v>55</v>
      </c>
      <c r="H101" s="69"/>
      <c r="I101" s="33"/>
      <c r="J101" s="69"/>
      <c r="K101" s="33"/>
      <c r="L101" s="33"/>
      <c r="M101" s="34"/>
      <c r="N101" s="99"/>
    </row>
    <row r="102" spans="1:15" ht="16.5" thickBot="1" x14ac:dyDescent="0.3">
      <c r="A102" s="35">
        <f>IF(F102&lt;&gt;"",1+MAX($A$5:A101),"")</f>
        <v>71</v>
      </c>
      <c r="B102" s="27"/>
      <c r="C102" s="28" t="s">
        <v>50</v>
      </c>
      <c r="D102" s="29">
        <f>ROUNDUP(1+D100/2,0)*2</f>
        <v>248</v>
      </c>
      <c r="E102" s="30">
        <v>0.05</v>
      </c>
      <c r="F102" s="31">
        <f>D102*(1+E102)</f>
        <v>260.40000000000003</v>
      </c>
      <c r="G102" s="32" t="s">
        <v>45</v>
      </c>
      <c r="H102" s="69">
        <f>H91</f>
        <v>21</v>
      </c>
      <c r="I102" s="33">
        <f>H102*F102</f>
        <v>5468.4000000000005</v>
      </c>
      <c r="J102" s="69">
        <f>J91</f>
        <v>33</v>
      </c>
      <c r="K102" s="33">
        <f>F102*J102</f>
        <v>8593.2000000000007</v>
      </c>
      <c r="L102" s="33">
        <f>K102+I102</f>
        <v>14061.600000000002</v>
      </c>
      <c r="M102" s="34"/>
      <c r="N102" s="99"/>
    </row>
    <row r="103" spans="1:15" ht="16.5" thickBot="1" x14ac:dyDescent="0.3">
      <c r="A103" s="35">
        <f>IF(F103&lt;&gt;"",1+MAX($A$5:A102),"")</f>
        <v>72</v>
      </c>
      <c r="B103" s="27"/>
      <c r="C103" s="28" t="s">
        <v>65</v>
      </c>
      <c r="D103" s="29">
        <f>ROUNDUP(D100*3/10,0)*2</f>
        <v>148</v>
      </c>
      <c r="E103" s="30">
        <v>0.05</v>
      </c>
      <c r="F103" s="31">
        <f>D103*(1+E103)</f>
        <v>155.4</v>
      </c>
      <c r="G103" s="32" t="s">
        <v>45</v>
      </c>
      <c r="H103" s="69">
        <f>H92</f>
        <v>15</v>
      </c>
      <c r="I103" s="33">
        <f>H103*F103</f>
        <v>2331</v>
      </c>
      <c r="J103" s="69">
        <f>J92</f>
        <v>23.6</v>
      </c>
      <c r="K103" s="33">
        <f>F103*J103</f>
        <v>3667.4400000000005</v>
      </c>
      <c r="L103" s="33">
        <f>K103+I103</f>
        <v>5998.4400000000005</v>
      </c>
      <c r="M103" s="34"/>
      <c r="N103" s="99"/>
    </row>
    <row r="104" spans="1:15" ht="16.5" thickBot="1" x14ac:dyDescent="0.3">
      <c r="A104" s="35">
        <f>IF(F104&lt;&gt;"",1+MAX($A$5:A103),"")</f>
        <v>73</v>
      </c>
      <c r="B104" s="27"/>
      <c r="C104" s="28" t="s">
        <v>52</v>
      </c>
      <c r="D104" s="29">
        <f>D100*10.34*2</f>
        <v>5066.6000000000004</v>
      </c>
      <c r="E104" s="30">
        <v>0.05</v>
      </c>
      <c r="F104" s="31">
        <f>D104*(1+E104)</f>
        <v>5319.93</v>
      </c>
      <c r="G104" s="32" t="s">
        <v>54</v>
      </c>
      <c r="H104" s="69">
        <f>H93</f>
        <v>0.4</v>
      </c>
      <c r="I104" s="33">
        <f>H104*F104</f>
        <v>2127.9720000000002</v>
      </c>
      <c r="J104" s="69">
        <f>J93</f>
        <v>0.5</v>
      </c>
      <c r="K104" s="33">
        <f>F104*J104</f>
        <v>2659.9650000000001</v>
      </c>
      <c r="L104" s="33">
        <f>K104+I104</f>
        <v>4787.9369999999999</v>
      </c>
      <c r="M104" s="34"/>
      <c r="N104" s="99"/>
    </row>
    <row r="105" spans="1:15" ht="16.5" thickBot="1" x14ac:dyDescent="0.3">
      <c r="A105" s="35">
        <f>IF(F105&lt;&gt;"",1+MAX($A$5:A104),"")</f>
        <v>74</v>
      </c>
      <c r="B105" s="27"/>
      <c r="C105" s="61" t="s">
        <v>53</v>
      </c>
      <c r="D105" s="29">
        <f>D100*10.34*2</f>
        <v>5066.6000000000004</v>
      </c>
      <c r="E105" s="30">
        <v>0.05</v>
      </c>
      <c r="F105" s="31">
        <f>D105*(1+E105)</f>
        <v>5319.93</v>
      </c>
      <c r="G105" s="32" t="s">
        <v>54</v>
      </c>
      <c r="H105" s="69">
        <f>H94</f>
        <v>1.8</v>
      </c>
      <c r="I105" s="33">
        <f>H105*F105</f>
        <v>9575.8740000000016</v>
      </c>
      <c r="J105" s="69">
        <f>J94</f>
        <v>0.56000000000000005</v>
      </c>
      <c r="K105" s="33">
        <f>F105*J105</f>
        <v>2979.1608000000006</v>
      </c>
      <c r="L105" s="33">
        <f>K105+I105</f>
        <v>12555.034800000001</v>
      </c>
      <c r="M105" s="34"/>
      <c r="N105" s="99"/>
    </row>
    <row r="106" spans="1:15" ht="16.5" thickBot="1" x14ac:dyDescent="0.3">
      <c r="A106" s="35">
        <f>IF(F106&lt;&gt;"",1+MAX($A$5:A105),"")</f>
        <v>75</v>
      </c>
      <c r="B106" s="27"/>
      <c r="C106" s="28" t="s">
        <v>114</v>
      </c>
      <c r="D106" s="29">
        <f>16*D105/(32)</f>
        <v>2533.3000000000002</v>
      </c>
      <c r="E106" s="30">
        <v>0.05</v>
      </c>
      <c r="F106" s="31">
        <f>D106*(1+E106)</f>
        <v>2659.9650000000001</v>
      </c>
      <c r="G106" s="32" t="s">
        <v>55</v>
      </c>
      <c r="H106" s="79"/>
      <c r="I106" s="80"/>
      <c r="J106" s="69">
        <v>0.02</v>
      </c>
      <c r="K106" s="33">
        <f t="shared" ref="K106:K109" si="24">F106*J106</f>
        <v>53.199300000000001</v>
      </c>
      <c r="L106" s="33">
        <f t="shared" ref="L106:L109" si="25">K106+I106</f>
        <v>53.199300000000001</v>
      </c>
      <c r="M106" s="34"/>
      <c r="N106" s="99"/>
    </row>
    <row r="107" spans="1:15" ht="16.5" thickBot="1" x14ac:dyDescent="0.3">
      <c r="A107" s="35">
        <f>IF(F107&lt;&gt;"",1+MAX($A$5:A106),"")</f>
        <v>76</v>
      </c>
      <c r="B107" s="27"/>
      <c r="C107" s="28" t="s">
        <v>111</v>
      </c>
      <c r="D107" s="29">
        <f>D105</f>
        <v>5066.6000000000004</v>
      </c>
      <c r="E107" s="30">
        <v>0.05</v>
      </c>
      <c r="F107" s="31">
        <f>D107*(1+E107)</f>
        <v>5319.93</v>
      </c>
      <c r="G107" s="32" t="s">
        <v>54</v>
      </c>
      <c r="H107" s="79"/>
      <c r="I107" s="80"/>
      <c r="J107" s="69">
        <v>0.06</v>
      </c>
      <c r="K107" s="33">
        <f t="shared" si="24"/>
        <v>319.19580000000002</v>
      </c>
      <c r="L107" s="33">
        <f t="shared" si="25"/>
        <v>319.19580000000002</v>
      </c>
      <c r="M107" s="34"/>
      <c r="N107" s="99"/>
    </row>
    <row r="108" spans="1:15" ht="16.5" thickBot="1" x14ac:dyDescent="0.3">
      <c r="A108" s="35">
        <f>IF(F108&lt;&gt;"",1+MAX($A$5:A107),"")</f>
        <v>77</v>
      </c>
      <c r="B108" s="27"/>
      <c r="C108" s="28" t="s">
        <v>112</v>
      </c>
      <c r="D108" s="29">
        <f>D105*1.01</f>
        <v>5117.2660000000005</v>
      </c>
      <c r="E108" s="30">
        <v>0.05</v>
      </c>
      <c r="F108" s="31">
        <f>D108*(1+E108)</f>
        <v>5373.1293000000005</v>
      </c>
      <c r="G108" s="32" t="s">
        <v>45</v>
      </c>
      <c r="H108" s="79"/>
      <c r="I108" s="80"/>
      <c r="J108" s="69">
        <v>2.5000000000000001E-2</v>
      </c>
      <c r="K108" s="33">
        <f t="shared" si="24"/>
        <v>134.32823250000001</v>
      </c>
      <c r="L108" s="33">
        <f t="shared" si="25"/>
        <v>134.32823250000001</v>
      </c>
      <c r="M108" s="34"/>
      <c r="N108" s="99"/>
    </row>
    <row r="109" spans="1:15" ht="16.5" thickBot="1" x14ac:dyDescent="0.3">
      <c r="A109" s="35">
        <f>IF(F109&lt;&gt;"",1+MAX($A$5:A108),"")</f>
        <v>78</v>
      </c>
      <c r="B109" s="27"/>
      <c r="C109" s="28" t="s">
        <v>113</v>
      </c>
      <c r="D109" s="29">
        <f>D105*1.5</f>
        <v>7599.9000000000005</v>
      </c>
      <c r="E109" s="30">
        <v>0.05</v>
      </c>
      <c r="F109" s="31">
        <f>D109*(1+E109)</f>
        <v>7979.8950000000013</v>
      </c>
      <c r="G109" s="32" t="s">
        <v>45</v>
      </c>
      <c r="H109" s="79"/>
      <c r="I109" s="80"/>
      <c r="J109" s="69">
        <v>3.2000000000000001E-2</v>
      </c>
      <c r="K109" s="33">
        <f t="shared" si="24"/>
        <v>255.35664000000006</v>
      </c>
      <c r="L109" s="33">
        <f t="shared" si="25"/>
        <v>255.35664000000006</v>
      </c>
      <c r="M109" s="34"/>
      <c r="N109" s="99"/>
    </row>
    <row r="110" spans="1:15" ht="16.5" thickBot="1" x14ac:dyDescent="0.3">
      <c r="A110" s="35" t="str">
        <f>IF(F110&lt;&gt;"",1+MAX($A$5:A109),"")</f>
        <v/>
      </c>
      <c r="B110" s="27"/>
      <c r="C110" s="28"/>
      <c r="D110" s="29"/>
      <c r="E110" s="30"/>
      <c r="F110" s="31"/>
      <c r="G110" s="32"/>
      <c r="H110" s="69"/>
      <c r="I110" s="33"/>
      <c r="J110" s="69"/>
      <c r="K110" s="33"/>
      <c r="L110" s="33"/>
      <c r="M110" s="34"/>
      <c r="N110" s="99"/>
    </row>
    <row r="111" spans="1:15" ht="16.5" thickBot="1" x14ac:dyDescent="0.3">
      <c r="A111" s="35" t="str">
        <f>IF(F111&lt;&gt;"",1+MAX($A$5:A110),"")</f>
        <v/>
      </c>
      <c r="B111" s="27"/>
      <c r="C111" s="81" t="s">
        <v>41</v>
      </c>
      <c r="D111" s="60">
        <v>282.89</v>
      </c>
      <c r="E111" s="30"/>
      <c r="F111" s="31"/>
      <c r="G111" s="59" t="s">
        <v>55</v>
      </c>
      <c r="H111" s="69"/>
      <c r="I111" s="33"/>
      <c r="J111" s="69"/>
      <c r="K111" s="33"/>
      <c r="L111" s="33"/>
      <c r="M111" s="34"/>
      <c r="N111" s="99"/>
      <c r="O111" s="101"/>
    </row>
    <row r="112" spans="1:15" ht="16.5" thickBot="1" x14ac:dyDescent="0.3">
      <c r="A112" s="35" t="str">
        <f>IF(F112&lt;&gt;"",1+MAX($A$5:A111),"")</f>
        <v/>
      </c>
      <c r="B112" s="27"/>
      <c r="C112" s="81" t="s">
        <v>49</v>
      </c>
      <c r="D112" s="60">
        <v>14</v>
      </c>
      <c r="E112" s="30"/>
      <c r="F112" s="31"/>
      <c r="G112" s="59" t="s">
        <v>55</v>
      </c>
      <c r="H112" s="69"/>
      <c r="I112" s="33"/>
      <c r="J112" s="69"/>
      <c r="K112" s="33"/>
      <c r="L112" s="33"/>
      <c r="M112" s="34"/>
      <c r="N112" s="99"/>
    </row>
    <row r="113" spans="1:15" ht="16.5" thickBot="1" x14ac:dyDescent="0.3">
      <c r="A113" s="35">
        <f>IF(F113&lt;&gt;"",1+MAX($A$5:A112),"")</f>
        <v>79</v>
      </c>
      <c r="B113" s="27"/>
      <c r="C113" s="28" t="s">
        <v>50</v>
      </c>
      <c r="D113" s="29">
        <f>ROUNDUP(1+D111/2,0)*2</f>
        <v>286</v>
      </c>
      <c r="E113" s="30">
        <v>0.05</v>
      </c>
      <c r="F113" s="31">
        <f>D113*(1+E113)</f>
        <v>300.3</v>
      </c>
      <c r="G113" s="32" t="s">
        <v>45</v>
      </c>
      <c r="H113" s="69">
        <f>H102</f>
        <v>21</v>
      </c>
      <c r="I113" s="33">
        <f>H113*F113</f>
        <v>6306.3</v>
      </c>
      <c r="J113" s="69">
        <f>J102</f>
        <v>33</v>
      </c>
      <c r="K113" s="33">
        <f>F113*J113</f>
        <v>9909.9</v>
      </c>
      <c r="L113" s="33">
        <f>K113+I113</f>
        <v>16216.2</v>
      </c>
      <c r="M113" s="34"/>
      <c r="N113" s="99"/>
    </row>
    <row r="114" spans="1:15" ht="16.5" thickBot="1" x14ac:dyDescent="0.3">
      <c r="A114" s="35">
        <f>IF(F114&lt;&gt;"",1+MAX($A$5:A113),"")</f>
        <v>80</v>
      </c>
      <c r="B114" s="27"/>
      <c r="C114" s="28" t="s">
        <v>65</v>
      </c>
      <c r="D114" s="29">
        <f>ROUNDUP(D111*3/10,0)*2</f>
        <v>170</v>
      </c>
      <c r="E114" s="30">
        <v>0.05</v>
      </c>
      <c r="F114" s="31">
        <f>D114*(1+E114)</f>
        <v>178.5</v>
      </c>
      <c r="G114" s="32" t="s">
        <v>45</v>
      </c>
      <c r="H114" s="69">
        <f>H103</f>
        <v>15</v>
      </c>
      <c r="I114" s="33">
        <f>H114*F114</f>
        <v>2677.5</v>
      </c>
      <c r="J114" s="69">
        <f>J103</f>
        <v>23.6</v>
      </c>
      <c r="K114" s="33">
        <f>F114*J114</f>
        <v>4212.6000000000004</v>
      </c>
      <c r="L114" s="33">
        <f>K114+I114</f>
        <v>6890.1</v>
      </c>
      <c r="M114" s="34"/>
      <c r="N114" s="99"/>
    </row>
    <row r="115" spans="1:15" ht="16.5" thickBot="1" x14ac:dyDescent="0.3">
      <c r="A115" s="35">
        <f>IF(F115&lt;&gt;"",1+MAX($A$5:A114),"")</f>
        <v>81</v>
      </c>
      <c r="B115" s="27"/>
      <c r="C115" s="28" t="s">
        <v>52</v>
      </c>
      <c r="D115" s="29">
        <f>D111*10.34*2</f>
        <v>5850.1651999999995</v>
      </c>
      <c r="E115" s="30">
        <v>0.05</v>
      </c>
      <c r="F115" s="31">
        <f>D115*(1+E115)</f>
        <v>6142.67346</v>
      </c>
      <c r="G115" s="32" t="s">
        <v>54</v>
      </c>
      <c r="H115" s="69">
        <f>H104</f>
        <v>0.4</v>
      </c>
      <c r="I115" s="33">
        <f>H115*F115</f>
        <v>2457.0693840000004</v>
      </c>
      <c r="J115" s="69">
        <f>J104</f>
        <v>0.5</v>
      </c>
      <c r="K115" s="33">
        <f>F115*J115</f>
        <v>3071.33673</v>
      </c>
      <c r="L115" s="33">
        <f>K115+I115</f>
        <v>5528.4061140000003</v>
      </c>
      <c r="M115" s="34"/>
      <c r="N115" s="99"/>
    </row>
    <row r="116" spans="1:15" ht="16.5" thickBot="1" x14ac:dyDescent="0.3">
      <c r="A116" s="35">
        <f>IF(F116&lt;&gt;"",1+MAX($A$5:A115),"")</f>
        <v>82</v>
      </c>
      <c r="B116" s="27"/>
      <c r="C116" s="61" t="s">
        <v>53</v>
      </c>
      <c r="D116" s="29">
        <f>(D111*D112*2)-D121</f>
        <v>5512.92</v>
      </c>
      <c r="E116" s="30">
        <v>0.05</v>
      </c>
      <c r="F116" s="31">
        <f>D116*(1+E116)</f>
        <v>5788.5660000000007</v>
      </c>
      <c r="G116" s="32" t="s">
        <v>54</v>
      </c>
      <c r="H116" s="69">
        <f>H105</f>
        <v>1.8</v>
      </c>
      <c r="I116" s="33">
        <f>H116*F116</f>
        <v>10419.418800000001</v>
      </c>
      <c r="J116" s="69">
        <f>J105</f>
        <v>0.56000000000000005</v>
      </c>
      <c r="K116" s="33">
        <f>F116*J116</f>
        <v>3241.5969600000008</v>
      </c>
      <c r="L116" s="33">
        <f>K116+I116</f>
        <v>13661.015760000002</v>
      </c>
      <c r="M116" s="34"/>
      <c r="N116" s="99"/>
    </row>
    <row r="117" spans="1:15" ht="16.5" thickBot="1" x14ac:dyDescent="0.3">
      <c r="A117" s="35">
        <f>IF(F117&lt;&gt;"",1+MAX($A$5:A116),"")</f>
        <v>83</v>
      </c>
      <c r="B117" s="27"/>
      <c r="C117" s="28" t="s">
        <v>114</v>
      </c>
      <c r="D117" s="29">
        <f>16*D116/(32)</f>
        <v>2756.46</v>
      </c>
      <c r="E117" s="30">
        <v>0.05</v>
      </c>
      <c r="F117" s="31">
        <f>D117*(1+E117)</f>
        <v>2894.2830000000004</v>
      </c>
      <c r="G117" s="32" t="s">
        <v>55</v>
      </c>
      <c r="H117" s="79"/>
      <c r="I117" s="80"/>
      <c r="J117" s="69">
        <v>0.02</v>
      </c>
      <c r="K117" s="33">
        <f t="shared" ref="K117:K120" si="26">F117*J117</f>
        <v>57.885660000000009</v>
      </c>
      <c r="L117" s="33">
        <f t="shared" ref="L117:L120" si="27">K117+I117</f>
        <v>57.885660000000009</v>
      </c>
      <c r="M117" s="34"/>
      <c r="N117" s="99"/>
    </row>
    <row r="118" spans="1:15" ht="16.5" thickBot="1" x14ac:dyDescent="0.3">
      <c r="A118" s="35">
        <f>IF(F118&lt;&gt;"",1+MAX($A$5:A117),"")</f>
        <v>84</v>
      </c>
      <c r="B118" s="27"/>
      <c r="C118" s="28" t="s">
        <v>111</v>
      </c>
      <c r="D118" s="29">
        <f>D116</f>
        <v>5512.92</v>
      </c>
      <c r="E118" s="30">
        <v>0.05</v>
      </c>
      <c r="F118" s="31">
        <f>D118*(1+E118)</f>
        <v>5788.5660000000007</v>
      </c>
      <c r="G118" s="32" t="s">
        <v>54</v>
      </c>
      <c r="H118" s="79"/>
      <c r="I118" s="80"/>
      <c r="J118" s="69">
        <v>0.06</v>
      </c>
      <c r="K118" s="33">
        <f t="shared" si="26"/>
        <v>347.31396000000001</v>
      </c>
      <c r="L118" s="33">
        <f t="shared" si="27"/>
        <v>347.31396000000001</v>
      </c>
      <c r="M118" s="34"/>
      <c r="N118" s="99"/>
    </row>
    <row r="119" spans="1:15" ht="16.5" thickBot="1" x14ac:dyDescent="0.3">
      <c r="A119" s="35">
        <f>IF(F119&lt;&gt;"",1+MAX($A$5:A118),"")</f>
        <v>85</v>
      </c>
      <c r="B119" s="27"/>
      <c r="C119" s="28" t="s">
        <v>112</v>
      </c>
      <c r="D119" s="29">
        <f>D116*1.01</f>
        <v>5568.0492000000004</v>
      </c>
      <c r="E119" s="30">
        <v>0.05</v>
      </c>
      <c r="F119" s="31">
        <f>D119*(1+E119)</f>
        <v>5846.4516600000006</v>
      </c>
      <c r="G119" s="32" t="s">
        <v>45</v>
      </c>
      <c r="H119" s="79"/>
      <c r="I119" s="80"/>
      <c r="J119" s="69">
        <v>2.5000000000000001E-2</v>
      </c>
      <c r="K119" s="33">
        <f t="shared" si="26"/>
        <v>146.16129150000003</v>
      </c>
      <c r="L119" s="33">
        <f t="shared" si="27"/>
        <v>146.16129150000003</v>
      </c>
      <c r="M119" s="34"/>
      <c r="N119" s="99"/>
    </row>
    <row r="120" spans="1:15" ht="16.5" thickBot="1" x14ac:dyDescent="0.3">
      <c r="A120" s="35">
        <f>IF(F120&lt;&gt;"",1+MAX($A$5:A119),"")</f>
        <v>86</v>
      </c>
      <c r="B120" s="27"/>
      <c r="C120" s="28" t="s">
        <v>113</v>
      </c>
      <c r="D120" s="29">
        <f>D116*1.5</f>
        <v>8269.380000000001</v>
      </c>
      <c r="E120" s="30">
        <v>0.05</v>
      </c>
      <c r="F120" s="31">
        <f>D120*(1+E120)</f>
        <v>8682.849000000002</v>
      </c>
      <c r="G120" s="32" t="s">
        <v>45</v>
      </c>
      <c r="H120" s="79"/>
      <c r="I120" s="80"/>
      <c r="J120" s="69">
        <v>3.2000000000000001E-2</v>
      </c>
      <c r="K120" s="33">
        <f t="shared" si="26"/>
        <v>277.85116800000009</v>
      </c>
      <c r="L120" s="33">
        <f t="shared" si="27"/>
        <v>277.85116800000009</v>
      </c>
      <c r="M120" s="34"/>
      <c r="N120" s="99"/>
    </row>
    <row r="121" spans="1:15" ht="16.5" thickBot="1" x14ac:dyDescent="0.3">
      <c r="A121" s="35">
        <f>IF(F121&lt;&gt;"",1+MAX($A$5:A120),"")</f>
        <v>87</v>
      </c>
      <c r="B121" s="27"/>
      <c r="C121" s="61" t="s">
        <v>60</v>
      </c>
      <c r="D121" s="29">
        <f>D112*86*2</f>
        <v>2408</v>
      </c>
      <c r="E121" s="30">
        <v>0.05</v>
      </c>
      <c r="F121" s="31">
        <f>D121*(1+E121)</f>
        <v>2528.4</v>
      </c>
      <c r="G121" s="32" t="s">
        <v>54</v>
      </c>
      <c r="H121" s="69">
        <v>1.8</v>
      </c>
      <c r="I121" s="33">
        <f>H121*F121</f>
        <v>4551.12</v>
      </c>
      <c r="J121" s="69">
        <v>0.7</v>
      </c>
      <c r="K121" s="33">
        <f>F121*J121</f>
        <v>1769.8799999999999</v>
      </c>
      <c r="L121" s="33">
        <f>K121+I121</f>
        <v>6321</v>
      </c>
      <c r="M121" s="34"/>
      <c r="N121" s="99"/>
    </row>
    <row r="122" spans="1:15" ht="16.5" thickBot="1" x14ac:dyDescent="0.3">
      <c r="A122" s="35">
        <f>IF(F122&lt;&gt;"",1+MAX($A$5:A121),"")</f>
        <v>88</v>
      </c>
      <c r="B122" s="27"/>
      <c r="C122" s="28" t="s">
        <v>114</v>
      </c>
      <c r="D122" s="29">
        <f>16*D121/(32)</f>
        <v>1204</v>
      </c>
      <c r="E122" s="30">
        <v>0.05</v>
      </c>
      <c r="F122" s="31">
        <f>D122*(1+E122)</f>
        <v>1264.2</v>
      </c>
      <c r="G122" s="32" t="s">
        <v>55</v>
      </c>
      <c r="H122" s="79"/>
      <c r="I122" s="80"/>
      <c r="J122" s="69">
        <v>0.02</v>
      </c>
      <c r="K122" s="33">
        <f t="shared" ref="K122:K125" si="28">F122*J122</f>
        <v>25.284000000000002</v>
      </c>
      <c r="L122" s="33">
        <f t="shared" ref="L122:L125" si="29">K122+I122</f>
        <v>25.284000000000002</v>
      </c>
      <c r="M122" s="34"/>
      <c r="N122" s="99"/>
    </row>
    <row r="123" spans="1:15" ht="16.5" thickBot="1" x14ac:dyDescent="0.3">
      <c r="A123" s="35">
        <f>IF(F123&lt;&gt;"",1+MAX($A$5:A122),"")</f>
        <v>89</v>
      </c>
      <c r="B123" s="27"/>
      <c r="C123" s="28" t="s">
        <v>111</v>
      </c>
      <c r="D123" s="29">
        <f>D121</f>
        <v>2408</v>
      </c>
      <c r="E123" s="30">
        <v>0.05</v>
      </c>
      <c r="F123" s="31">
        <f>D123*(1+E123)</f>
        <v>2528.4</v>
      </c>
      <c r="G123" s="32" t="s">
        <v>54</v>
      </c>
      <c r="H123" s="79"/>
      <c r="I123" s="80"/>
      <c r="J123" s="69">
        <v>0.06</v>
      </c>
      <c r="K123" s="33">
        <f t="shared" si="28"/>
        <v>151.70400000000001</v>
      </c>
      <c r="L123" s="33">
        <f t="shared" si="29"/>
        <v>151.70400000000001</v>
      </c>
      <c r="M123" s="34"/>
      <c r="N123" s="99"/>
    </row>
    <row r="124" spans="1:15" ht="16.5" thickBot="1" x14ac:dyDescent="0.3">
      <c r="A124" s="35">
        <f>IF(F124&lt;&gt;"",1+MAX($A$5:A123),"")</f>
        <v>90</v>
      </c>
      <c r="B124" s="27"/>
      <c r="C124" s="28" t="s">
        <v>112</v>
      </c>
      <c r="D124" s="29">
        <f>D121*1.01</f>
        <v>2432.08</v>
      </c>
      <c r="E124" s="30">
        <v>0.05</v>
      </c>
      <c r="F124" s="31">
        <f>D124*(1+E124)</f>
        <v>2553.6840000000002</v>
      </c>
      <c r="G124" s="32" t="s">
        <v>45</v>
      </c>
      <c r="H124" s="79"/>
      <c r="I124" s="80"/>
      <c r="J124" s="69">
        <v>2.5000000000000001E-2</v>
      </c>
      <c r="K124" s="33">
        <f t="shared" si="28"/>
        <v>63.842100000000009</v>
      </c>
      <c r="L124" s="33">
        <f t="shared" si="29"/>
        <v>63.842100000000009</v>
      </c>
      <c r="M124" s="34"/>
      <c r="N124" s="99"/>
    </row>
    <row r="125" spans="1:15" ht="16.5" thickBot="1" x14ac:dyDescent="0.3">
      <c r="A125" s="35">
        <f>IF(F125&lt;&gt;"",1+MAX($A$5:A124),"")</f>
        <v>91</v>
      </c>
      <c r="B125" s="27"/>
      <c r="C125" s="28" t="s">
        <v>113</v>
      </c>
      <c r="D125" s="29">
        <f>D121*1.5</f>
        <v>3612</v>
      </c>
      <c r="E125" s="30">
        <v>0.05</v>
      </c>
      <c r="F125" s="31">
        <f>D125*(1+E125)</f>
        <v>3792.6000000000004</v>
      </c>
      <c r="G125" s="32" t="s">
        <v>45</v>
      </c>
      <c r="H125" s="79"/>
      <c r="I125" s="80"/>
      <c r="J125" s="69">
        <v>3.2000000000000001E-2</v>
      </c>
      <c r="K125" s="33">
        <f t="shared" si="28"/>
        <v>121.36320000000002</v>
      </c>
      <c r="L125" s="33">
        <f t="shared" si="29"/>
        <v>121.36320000000002</v>
      </c>
      <c r="M125" s="34"/>
      <c r="N125" s="99"/>
    </row>
    <row r="126" spans="1:15" ht="16.5" thickBot="1" x14ac:dyDescent="0.3">
      <c r="A126" s="35" t="str">
        <f>IF(F126&lt;&gt;"",1+MAX($A$5:A125),"")</f>
        <v/>
      </c>
      <c r="B126" s="27"/>
      <c r="C126" s="28"/>
      <c r="D126" s="29"/>
      <c r="E126" s="30"/>
      <c r="F126" s="31"/>
      <c r="G126" s="32"/>
      <c r="H126" s="69"/>
      <c r="I126" s="33"/>
      <c r="J126" s="69"/>
      <c r="K126" s="33"/>
      <c r="L126" s="33"/>
      <c r="M126" s="34"/>
      <c r="N126" s="99"/>
    </row>
    <row r="127" spans="1:15" ht="16.5" thickBot="1" x14ac:dyDescent="0.3">
      <c r="A127" s="35" t="str">
        <f>IF(F127&lt;&gt;"",1+MAX($A$5:A126),"")</f>
        <v/>
      </c>
      <c r="B127" s="27"/>
      <c r="C127" s="81" t="s">
        <v>84</v>
      </c>
      <c r="D127" s="60">
        <v>802</v>
      </c>
      <c r="E127" s="30"/>
      <c r="F127" s="31"/>
      <c r="G127" s="59" t="s">
        <v>55</v>
      </c>
      <c r="H127" s="69"/>
      <c r="I127" s="33"/>
      <c r="J127" s="69"/>
      <c r="K127" s="33"/>
      <c r="L127" s="33"/>
      <c r="M127" s="34"/>
      <c r="N127" s="99"/>
      <c r="O127" s="101"/>
    </row>
    <row r="128" spans="1:15" ht="16.5" thickBot="1" x14ac:dyDescent="0.3">
      <c r="A128" s="35" t="str">
        <f>IF(F128&lt;&gt;"",1+MAX($A$5:A127),"")</f>
        <v/>
      </c>
      <c r="B128" s="27"/>
      <c r="C128" s="81" t="s">
        <v>49</v>
      </c>
      <c r="D128" s="60">
        <v>13.5</v>
      </c>
      <c r="E128" s="30"/>
      <c r="F128" s="31"/>
      <c r="G128" s="59" t="s">
        <v>55</v>
      </c>
      <c r="H128" s="69"/>
      <c r="I128" s="33"/>
      <c r="J128" s="69"/>
      <c r="K128" s="33"/>
      <c r="L128" s="33"/>
      <c r="M128" s="34"/>
      <c r="N128" s="99"/>
    </row>
    <row r="129" spans="1:14" ht="16.5" thickBot="1" x14ac:dyDescent="0.3">
      <c r="A129" s="35">
        <f>IF(F129&lt;&gt;"",1+MAX($A$5:A128),"")</f>
        <v>92</v>
      </c>
      <c r="B129" s="27"/>
      <c r="C129" s="28" t="s">
        <v>86</v>
      </c>
      <c r="D129" s="29">
        <f>ROUNDUP(1+D127/1.34,0)</f>
        <v>600</v>
      </c>
      <c r="E129" s="30">
        <v>0.05</v>
      </c>
      <c r="F129" s="31">
        <f>D129*(1+E129)</f>
        <v>630</v>
      </c>
      <c r="G129" s="32" t="s">
        <v>45</v>
      </c>
      <c r="H129" s="69">
        <f>H80</f>
        <v>49.699999999999996</v>
      </c>
      <c r="I129" s="33">
        <f>H129*F129</f>
        <v>31310.999999999996</v>
      </c>
      <c r="J129" s="69">
        <f>J80</f>
        <v>57.82</v>
      </c>
      <c r="K129" s="33">
        <f>F129*J129</f>
        <v>36426.6</v>
      </c>
      <c r="L129" s="33">
        <f>K129+I129</f>
        <v>67737.599999999991</v>
      </c>
      <c r="M129" s="34"/>
      <c r="N129" s="99"/>
    </row>
    <row r="130" spans="1:14" ht="16.5" thickBot="1" x14ac:dyDescent="0.3">
      <c r="A130" s="35">
        <f>IF(F130&lt;&gt;"",1+MAX($A$5:A129),"")</f>
        <v>93</v>
      </c>
      <c r="B130" s="27"/>
      <c r="C130" s="28" t="s">
        <v>85</v>
      </c>
      <c r="D130" s="29">
        <f>ROUNDUP(D127*3/10,0)</f>
        <v>241</v>
      </c>
      <c r="E130" s="30">
        <v>0.05</v>
      </c>
      <c r="F130" s="31">
        <f>D130*(1+E130)</f>
        <v>253.05</v>
      </c>
      <c r="G130" s="32" t="s">
        <v>45</v>
      </c>
      <c r="H130" s="69">
        <f>H81</f>
        <v>27.3</v>
      </c>
      <c r="I130" s="33">
        <f>H130*F130</f>
        <v>6908.2650000000003</v>
      </c>
      <c r="J130" s="69">
        <f>J81</f>
        <v>39.1</v>
      </c>
      <c r="K130" s="33">
        <f>F130*J130</f>
        <v>9894.255000000001</v>
      </c>
      <c r="L130" s="33">
        <f>K130+I130</f>
        <v>16802.52</v>
      </c>
      <c r="M130" s="34"/>
      <c r="N130" s="99"/>
    </row>
    <row r="131" spans="1:14" ht="16.5" thickBot="1" x14ac:dyDescent="0.3">
      <c r="A131" s="35">
        <f>IF(F131&lt;&gt;"",1+MAX($A$5:A130),"")</f>
        <v>94</v>
      </c>
      <c r="B131" s="95" t="s">
        <v>94</v>
      </c>
      <c r="C131" s="28" t="s">
        <v>196</v>
      </c>
      <c r="D131" s="29">
        <f>1+120/1.34</f>
        <v>90.552238805970148</v>
      </c>
      <c r="E131" s="30">
        <v>0.05</v>
      </c>
      <c r="F131" s="31">
        <f>D131*(1+E131)</f>
        <v>95.079850746268662</v>
      </c>
      <c r="G131" s="32" t="s">
        <v>45</v>
      </c>
      <c r="H131" s="69">
        <f>2.14*4</f>
        <v>8.56</v>
      </c>
      <c r="I131" s="33">
        <f t="shared" ref="I131:I132" si="30">H131*F131</f>
        <v>813.88352238805976</v>
      </c>
      <c r="J131" s="69">
        <f>3.2*4</f>
        <v>12.8</v>
      </c>
      <c r="K131" s="33">
        <f t="shared" ref="K131:K132" si="31">F131*J131</f>
        <v>1217.0220895522389</v>
      </c>
      <c r="L131" s="33">
        <f t="shared" ref="L131:L132" si="32">K131+I131</f>
        <v>2030.9056119402985</v>
      </c>
      <c r="M131" s="34"/>
      <c r="N131" s="99"/>
    </row>
    <row r="132" spans="1:14" ht="16.5" thickBot="1" x14ac:dyDescent="0.3">
      <c r="A132" s="35">
        <f>IF(F132&lt;&gt;"",1+MAX($A$5:A131),"")</f>
        <v>95</v>
      </c>
      <c r="B132" s="95"/>
      <c r="C132" s="28" t="s">
        <v>95</v>
      </c>
      <c r="D132" s="29">
        <f>120*3/10</f>
        <v>36</v>
      </c>
      <c r="E132" s="30">
        <v>0.05</v>
      </c>
      <c r="F132" s="31">
        <f>D132*(1+E132)</f>
        <v>37.800000000000004</v>
      </c>
      <c r="G132" s="32" t="s">
        <v>45</v>
      </c>
      <c r="H132" s="69">
        <v>21.4</v>
      </c>
      <c r="I132" s="33">
        <f t="shared" si="30"/>
        <v>808.92000000000007</v>
      </c>
      <c r="J132" s="69">
        <v>32</v>
      </c>
      <c r="K132" s="33">
        <f t="shared" si="31"/>
        <v>1209.6000000000001</v>
      </c>
      <c r="L132" s="33">
        <f t="shared" si="32"/>
        <v>2018.5200000000002</v>
      </c>
      <c r="M132" s="34"/>
      <c r="N132" s="99"/>
    </row>
    <row r="133" spans="1:14" ht="16.5" thickBot="1" x14ac:dyDescent="0.3">
      <c r="A133" s="35">
        <f>IF(F133&lt;&gt;"",1+MAX($A$5:A132),"")</f>
        <v>96</v>
      </c>
      <c r="B133" s="27"/>
      <c r="C133" s="28" t="s">
        <v>93</v>
      </c>
      <c r="D133" s="29">
        <f>D127*D128</f>
        <v>10827</v>
      </c>
      <c r="E133" s="30">
        <v>0.05</v>
      </c>
      <c r="F133" s="31">
        <f>D133*(1+E133)</f>
        <v>11368.35</v>
      </c>
      <c r="G133" s="32" t="s">
        <v>54</v>
      </c>
      <c r="H133" s="69">
        <v>0.5</v>
      </c>
      <c r="I133" s="33">
        <f>H133*F133</f>
        <v>5684.1750000000002</v>
      </c>
      <c r="J133" s="69">
        <v>0.55000000000000004</v>
      </c>
      <c r="K133" s="33">
        <f>F133*J133</f>
        <v>6252.5925000000007</v>
      </c>
      <c r="L133" s="33">
        <f>K133+I133</f>
        <v>11936.767500000002</v>
      </c>
      <c r="M133" s="34"/>
      <c r="N133" s="99"/>
    </row>
    <row r="134" spans="1:14" ht="16.5" thickBot="1" x14ac:dyDescent="0.3">
      <c r="A134" s="35">
        <f>IF(F134&lt;&gt;"",1+MAX($A$5:A133),"")</f>
        <v>97</v>
      </c>
      <c r="B134" s="27"/>
      <c r="C134" s="28" t="s">
        <v>87</v>
      </c>
      <c r="D134" s="29">
        <f>D127*10</f>
        <v>8020</v>
      </c>
      <c r="E134" s="30">
        <v>0.05</v>
      </c>
      <c r="F134" s="31">
        <f>D134*(1+E134)</f>
        <v>8421</v>
      </c>
      <c r="G134" s="32" t="s">
        <v>54</v>
      </c>
      <c r="H134" s="69">
        <v>0.75</v>
      </c>
      <c r="I134" s="33">
        <f>H134*F134</f>
        <v>6315.75</v>
      </c>
      <c r="J134" s="69">
        <v>0.95</v>
      </c>
      <c r="K134" s="33">
        <f>F134*J134</f>
        <v>7999.95</v>
      </c>
      <c r="L134" s="33">
        <f>K134+I134</f>
        <v>14315.7</v>
      </c>
      <c r="M134" s="34"/>
      <c r="N134" s="99"/>
    </row>
    <row r="135" spans="1:14" ht="16.5" thickBot="1" x14ac:dyDescent="0.3">
      <c r="A135" s="35">
        <f>IF(F135&lt;&gt;"",1+MAX($A$5:A134),"")</f>
        <v>98</v>
      </c>
      <c r="B135" s="27"/>
      <c r="C135" s="61" t="s">
        <v>90</v>
      </c>
      <c r="D135" s="29">
        <f>(D127*D128)+(120*13.5)</f>
        <v>12447</v>
      </c>
      <c r="E135" s="30">
        <v>0.05</v>
      </c>
      <c r="F135" s="31">
        <f>D135*(1+E135)</f>
        <v>13069.35</v>
      </c>
      <c r="G135" s="32" t="s">
        <v>54</v>
      </c>
      <c r="H135" s="69">
        <v>1.8</v>
      </c>
      <c r="I135" s="33">
        <f>H135*F135</f>
        <v>23524.83</v>
      </c>
      <c r="J135" s="69">
        <v>0.56000000000000005</v>
      </c>
      <c r="K135" s="33">
        <f>F135*J135</f>
        <v>7318.8360000000011</v>
      </c>
      <c r="L135" s="33">
        <f>K135+I135</f>
        <v>30843.666000000005</v>
      </c>
      <c r="M135" s="34"/>
      <c r="N135" s="99"/>
    </row>
    <row r="136" spans="1:14" ht="16.5" thickBot="1" x14ac:dyDescent="0.3">
      <c r="A136" s="35">
        <f>IF(F136&lt;&gt;"",1+MAX($A$5:A135),"")</f>
        <v>99</v>
      </c>
      <c r="B136" s="27"/>
      <c r="C136" s="28" t="s">
        <v>114</v>
      </c>
      <c r="D136" s="29">
        <f>16*D135/(32)</f>
        <v>6223.5</v>
      </c>
      <c r="E136" s="30">
        <v>0.05</v>
      </c>
      <c r="F136" s="31">
        <f>D136*(1+E136)</f>
        <v>6534.6750000000002</v>
      </c>
      <c r="G136" s="32" t="s">
        <v>55</v>
      </c>
      <c r="H136" s="79"/>
      <c r="I136" s="80"/>
      <c r="J136" s="69">
        <v>0.02</v>
      </c>
      <c r="K136" s="33">
        <f t="shared" ref="K136:K139" si="33">F136*J136</f>
        <v>130.6935</v>
      </c>
      <c r="L136" s="33">
        <f t="shared" ref="L136:L139" si="34">K136+I136</f>
        <v>130.6935</v>
      </c>
      <c r="M136" s="34"/>
      <c r="N136" s="99"/>
    </row>
    <row r="137" spans="1:14" ht="16.5" thickBot="1" x14ac:dyDescent="0.3">
      <c r="A137" s="35">
        <f>IF(F137&lt;&gt;"",1+MAX($A$5:A136),"")</f>
        <v>100</v>
      </c>
      <c r="B137" s="27"/>
      <c r="C137" s="28" t="s">
        <v>111</v>
      </c>
      <c r="D137" s="29">
        <f>D135</f>
        <v>12447</v>
      </c>
      <c r="E137" s="30">
        <v>0.05</v>
      </c>
      <c r="F137" s="31">
        <f>D137*(1+E137)</f>
        <v>13069.35</v>
      </c>
      <c r="G137" s="32" t="s">
        <v>54</v>
      </c>
      <c r="H137" s="79"/>
      <c r="I137" s="80"/>
      <c r="J137" s="69">
        <v>0.06</v>
      </c>
      <c r="K137" s="33">
        <f t="shared" si="33"/>
        <v>784.16099999999994</v>
      </c>
      <c r="L137" s="33">
        <f t="shared" si="34"/>
        <v>784.16099999999994</v>
      </c>
      <c r="M137" s="34"/>
      <c r="N137" s="99"/>
    </row>
    <row r="138" spans="1:14" ht="16.5" thickBot="1" x14ac:dyDescent="0.3">
      <c r="A138" s="35">
        <f>IF(F138&lt;&gt;"",1+MAX($A$5:A137),"")</f>
        <v>101</v>
      </c>
      <c r="B138" s="27"/>
      <c r="C138" s="28" t="s">
        <v>112</v>
      </c>
      <c r="D138" s="29">
        <f>D135*1.01</f>
        <v>12571.47</v>
      </c>
      <c r="E138" s="30">
        <v>0.05</v>
      </c>
      <c r="F138" s="31">
        <f>D138*(1+E138)</f>
        <v>13200.0435</v>
      </c>
      <c r="G138" s="32" t="s">
        <v>45</v>
      </c>
      <c r="H138" s="79"/>
      <c r="I138" s="80"/>
      <c r="J138" s="69">
        <v>2.5000000000000001E-2</v>
      </c>
      <c r="K138" s="33">
        <f t="shared" si="33"/>
        <v>330.00108750000004</v>
      </c>
      <c r="L138" s="33">
        <f t="shared" si="34"/>
        <v>330.00108750000004</v>
      </c>
      <c r="M138" s="34"/>
      <c r="N138" s="99"/>
    </row>
    <row r="139" spans="1:14" ht="16.5" thickBot="1" x14ac:dyDescent="0.3">
      <c r="A139" s="35">
        <f>IF(F139&lt;&gt;"",1+MAX($A$5:A138),"")</f>
        <v>102</v>
      </c>
      <c r="B139" s="27"/>
      <c r="C139" s="28" t="s">
        <v>113</v>
      </c>
      <c r="D139" s="29">
        <f>D135*1.5</f>
        <v>18670.5</v>
      </c>
      <c r="E139" s="30">
        <v>0.05</v>
      </c>
      <c r="F139" s="31">
        <f>D139*(1+E139)</f>
        <v>19604.025000000001</v>
      </c>
      <c r="G139" s="32" t="s">
        <v>45</v>
      </c>
      <c r="H139" s="79"/>
      <c r="I139" s="80"/>
      <c r="J139" s="69">
        <v>3.2000000000000001E-2</v>
      </c>
      <c r="K139" s="33">
        <f t="shared" si="33"/>
        <v>627.32880000000011</v>
      </c>
      <c r="L139" s="33">
        <f t="shared" si="34"/>
        <v>627.32880000000011</v>
      </c>
      <c r="M139" s="34"/>
      <c r="N139" s="99"/>
    </row>
    <row r="140" spans="1:14" ht="16.5" thickBot="1" x14ac:dyDescent="0.3">
      <c r="A140" s="35">
        <f>IF(F140&lt;&gt;"",1+MAX($A$5:A139),"")</f>
        <v>103</v>
      </c>
      <c r="B140" s="27"/>
      <c r="C140" s="28" t="s">
        <v>88</v>
      </c>
      <c r="D140" s="29">
        <f>(D127*10)</f>
        <v>8020</v>
      </c>
      <c r="E140" s="30">
        <v>0.05</v>
      </c>
      <c r="F140" s="31">
        <f>D140*(1+E140)</f>
        <v>8421</v>
      </c>
      <c r="G140" s="32" t="s">
        <v>54</v>
      </c>
      <c r="H140" s="69">
        <v>1.8</v>
      </c>
      <c r="I140" s="33">
        <f>H140*F140</f>
        <v>15157.800000000001</v>
      </c>
      <c r="J140" s="69">
        <v>1.6</v>
      </c>
      <c r="K140" s="33">
        <f>F140*J140</f>
        <v>13473.6</v>
      </c>
      <c r="L140" s="33">
        <f>K140+I140</f>
        <v>28631.4</v>
      </c>
      <c r="M140" s="34"/>
      <c r="N140" s="99"/>
    </row>
    <row r="141" spans="1:14" ht="16.5" thickBot="1" x14ac:dyDescent="0.3">
      <c r="A141" s="35">
        <f>IF(F141&lt;&gt;"",1+MAX($A$5:A140),"")</f>
        <v>104</v>
      </c>
      <c r="B141" s="27"/>
      <c r="C141" s="28" t="s">
        <v>89</v>
      </c>
      <c r="D141" s="29">
        <f>(D127*10)</f>
        <v>8020</v>
      </c>
      <c r="E141" s="30">
        <v>0.05</v>
      </c>
      <c r="F141" s="31">
        <f>D141*(1+E141)</f>
        <v>8421</v>
      </c>
      <c r="G141" s="32" t="s">
        <v>54</v>
      </c>
      <c r="H141" s="69">
        <v>0.4</v>
      </c>
      <c r="I141" s="33">
        <f>H141*F141</f>
        <v>3368.4</v>
      </c>
      <c r="J141" s="69">
        <v>0.3</v>
      </c>
      <c r="K141" s="33">
        <f>F141*J141</f>
        <v>2526.2999999999997</v>
      </c>
      <c r="L141" s="33">
        <f>K141+I141</f>
        <v>5894.7</v>
      </c>
      <c r="M141" s="34"/>
      <c r="N141" s="99"/>
    </row>
    <row r="142" spans="1:14" ht="16.5" thickBot="1" x14ac:dyDescent="0.3">
      <c r="A142" s="35" t="str">
        <f>IF(F142&lt;&gt;"",1+MAX($A$5:A141),"")</f>
        <v/>
      </c>
      <c r="B142" s="27"/>
      <c r="C142" s="28"/>
      <c r="D142" s="29"/>
      <c r="E142" s="30"/>
      <c r="F142" s="31"/>
      <c r="G142" s="32"/>
      <c r="H142" s="69"/>
      <c r="I142" s="33"/>
      <c r="J142" s="69"/>
      <c r="K142" s="33"/>
      <c r="L142" s="33"/>
      <c r="M142" s="34"/>
      <c r="N142" s="99"/>
    </row>
    <row r="143" spans="1:14" ht="16.5" thickBot="1" x14ac:dyDescent="0.3">
      <c r="A143" s="35" t="str">
        <f>IF(F143&lt;&gt;"",1+MAX($A$5:A142),"")</f>
        <v/>
      </c>
      <c r="B143" s="93" t="s">
        <v>42</v>
      </c>
      <c r="C143" s="94" t="s">
        <v>42</v>
      </c>
      <c r="D143" s="29"/>
      <c r="E143" s="30"/>
      <c r="F143" s="31"/>
      <c r="G143" s="32"/>
      <c r="H143" s="69"/>
      <c r="I143" s="33"/>
      <c r="J143" s="69"/>
      <c r="K143" s="33"/>
      <c r="L143" s="33"/>
      <c r="M143" s="34"/>
      <c r="N143" s="99"/>
    </row>
    <row r="144" spans="1:14" ht="16.5" thickBot="1" x14ac:dyDescent="0.3">
      <c r="A144" s="35" t="str">
        <f>IF(F144&lt;&gt;"",1+MAX($A$5:A143),"")</f>
        <v/>
      </c>
      <c r="B144" s="27"/>
      <c r="C144" s="28"/>
      <c r="D144" s="29"/>
      <c r="E144" s="30"/>
      <c r="F144" s="31"/>
      <c r="G144" s="32"/>
      <c r="H144" s="69"/>
      <c r="I144" s="33"/>
      <c r="J144" s="69"/>
      <c r="K144" s="33"/>
      <c r="L144" s="33"/>
      <c r="M144" s="34"/>
      <c r="N144" s="99"/>
    </row>
    <row r="145" spans="1:15" ht="16.5" thickBot="1" x14ac:dyDescent="0.3">
      <c r="A145" s="35" t="str">
        <f>IF(F145&lt;&gt;"",1+MAX($A$5:A144),"")</f>
        <v/>
      </c>
      <c r="B145" s="27"/>
      <c r="C145" s="81" t="s">
        <v>36</v>
      </c>
      <c r="D145" s="60">
        <v>455.93</v>
      </c>
      <c r="E145" s="30"/>
      <c r="F145" s="31"/>
      <c r="G145" s="59" t="s">
        <v>55</v>
      </c>
      <c r="H145" s="69"/>
      <c r="I145" s="33"/>
      <c r="J145" s="69"/>
      <c r="K145" s="33"/>
      <c r="L145" s="33"/>
      <c r="M145" s="34"/>
      <c r="N145" s="99"/>
      <c r="O145" s="101"/>
    </row>
    <row r="146" spans="1:15" ht="16.5" thickBot="1" x14ac:dyDescent="0.3">
      <c r="A146" s="35" t="str">
        <f>IF(F146&lt;&gt;"",1+MAX($A$5:A145),"")</f>
        <v/>
      </c>
      <c r="B146" s="27"/>
      <c r="C146" s="81" t="s">
        <v>49</v>
      </c>
      <c r="D146" s="60">
        <v>9</v>
      </c>
      <c r="E146" s="30"/>
      <c r="F146" s="31"/>
      <c r="G146" s="59" t="s">
        <v>55</v>
      </c>
      <c r="H146" s="69"/>
      <c r="I146" s="33"/>
      <c r="J146" s="69"/>
      <c r="K146" s="33"/>
      <c r="L146" s="33"/>
      <c r="M146" s="34"/>
      <c r="N146" s="99"/>
    </row>
    <row r="147" spans="1:15" ht="16.5" thickBot="1" x14ac:dyDescent="0.3">
      <c r="A147" s="35">
        <f>IF(F147&lt;&gt;"",1+MAX($A$5:A146),"")</f>
        <v>105</v>
      </c>
      <c r="B147" s="27"/>
      <c r="C147" s="28" t="s">
        <v>62</v>
      </c>
      <c r="D147" s="29">
        <f>ROUNDUP(1+D145/2,0)</f>
        <v>229</v>
      </c>
      <c r="E147" s="30">
        <v>0.05</v>
      </c>
      <c r="F147" s="31">
        <f>D147*(1+E147)</f>
        <v>240.45000000000002</v>
      </c>
      <c r="G147" s="32" t="s">
        <v>45</v>
      </c>
      <c r="H147" s="69">
        <v>15</v>
      </c>
      <c r="I147" s="33">
        <f>H147*F147</f>
        <v>3606.7500000000005</v>
      </c>
      <c r="J147" s="69">
        <v>23.6</v>
      </c>
      <c r="K147" s="33">
        <f>F147*J147</f>
        <v>5674.6200000000008</v>
      </c>
      <c r="L147" s="33">
        <f>K147+I147</f>
        <v>9281.3700000000008</v>
      </c>
      <c r="M147" s="34"/>
      <c r="N147" s="99"/>
    </row>
    <row r="148" spans="1:15" ht="16.5" thickBot="1" x14ac:dyDescent="0.3">
      <c r="A148" s="35">
        <f>IF(F148&lt;&gt;"",1+MAX($A$5:A147),"")</f>
        <v>106</v>
      </c>
      <c r="B148" s="27"/>
      <c r="C148" s="28" t="s">
        <v>51</v>
      </c>
      <c r="D148" s="29">
        <f>ROUNDUP(D145*3/10,0)</f>
        <v>137</v>
      </c>
      <c r="E148" s="30">
        <v>0.05</v>
      </c>
      <c r="F148" s="31">
        <f>D148*(1+E148)</f>
        <v>143.85</v>
      </c>
      <c r="G148" s="32" t="s">
        <v>45</v>
      </c>
      <c r="H148" s="69">
        <v>15</v>
      </c>
      <c r="I148" s="33">
        <f>H148*F148</f>
        <v>2157.75</v>
      </c>
      <c r="J148" s="69">
        <v>23.6</v>
      </c>
      <c r="K148" s="33">
        <f>F148*J148</f>
        <v>3394.86</v>
      </c>
      <c r="L148" s="33">
        <f>K148+I148</f>
        <v>5552.6100000000006</v>
      </c>
      <c r="M148" s="34"/>
      <c r="N148" s="99"/>
    </row>
    <row r="149" spans="1:15" ht="16.5" thickBot="1" x14ac:dyDescent="0.3">
      <c r="A149" s="35">
        <f>IF(F149&lt;&gt;"",1+MAX($A$5:A148),"")</f>
        <v>107</v>
      </c>
      <c r="B149" s="27"/>
      <c r="C149" s="28" t="s">
        <v>52</v>
      </c>
      <c r="D149" s="29">
        <f>D145*10.34</f>
        <v>4714.3162000000002</v>
      </c>
      <c r="E149" s="30">
        <v>0.05</v>
      </c>
      <c r="F149" s="31">
        <f>D149*(1+E149)</f>
        <v>4950.0320100000008</v>
      </c>
      <c r="G149" s="32" t="s">
        <v>54</v>
      </c>
      <c r="H149" s="69">
        <v>0.4</v>
      </c>
      <c r="I149" s="33">
        <f>H149*F149</f>
        <v>1980.0128040000004</v>
      </c>
      <c r="J149" s="69">
        <v>0.5</v>
      </c>
      <c r="K149" s="33">
        <f>F149*J149</f>
        <v>2475.0160050000004</v>
      </c>
      <c r="L149" s="33">
        <f>K149+I149</f>
        <v>4455.0288090000013</v>
      </c>
      <c r="M149" s="34"/>
      <c r="N149" s="99"/>
    </row>
    <row r="150" spans="1:15" ht="16.5" thickBot="1" x14ac:dyDescent="0.3">
      <c r="A150" s="35">
        <f>IF(F150&lt;&gt;"",1+MAX($A$5:A149),"")</f>
        <v>108</v>
      </c>
      <c r="B150" s="27"/>
      <c r="C150" s="61" t="s">
        <v>53</v>
      </c>
      <c r="D150" s="29">
        <f>D145*10.34*2</f>
        <v>9428.6324000000004</v>
      </c>
      <c r="E150" s="30">
        <v>0.05</v>
      </c>
      <c r="F150" s="31">
        <f>D150*(1+E150)</f>
        <v>9900.0640200000016</v>
      </c>
      <c r="G150" s="32" t="s">
        <v>54</v>
      </c>
      <c r="H150" s="69">
        <v>1.8</v>
      </c>
      <c r="I150" s="33">
        <f>H150*F150</f>
        <v>17820.115236000005</v>
      </c>
      <c r="J150" s="69">
        <v>0.56000000000000005</v>
      </c>
      <c r="K150" s="33">
        <f>F150*J150</f>
        <v>5544.0358512000012</v>
      </c>
      <c r="L150" s="33">
        <f>K150+I150</f>
        <v>23364.151087200007</v>
      </c>
      <c r="M150" s="34"/>
      <c r="N150" s="99"/>
    </row>
    <row r="151" spans="1:15" ht="16.5" thickBot="1" x14ac:dyDescent="0.3">
      <c r="A151" s="35">
        <f>IF(F151&lt;&gt;"",1+MAX($A$5:A150),"")</f>
        <v>109</v>
      </c>
      <c r="B151" s="27"/>
      <c r="C151" s="28" t="s">
        <v>114</v>
      </c>
      <c r="D151" s="29">
        <f>16*D150/(32)</f>
        <v>4714.3162000000002</v>
      </c>
      <c r="E151" s="30">
        <v>0.05</v>
      </c>
      <c r="F151" s="31">
        <f>D151*(1+E151)</f>
        <v>4950.0320100000008</v>
      </c>
      <c r="G151" s="32" t="s">
        <v>55</v>
      </c>
      <c r="H151" s="79"/>
      <c r="I151" s="80"/>
      <c r="J151" s="69">
        <v>0.02</v>
      </c>
      <c r="K151" s="33">
        <f t="shared" ref="K151:K154" si="35">F151*J151</f>
        <v>99.000640200000021</v>
      </c>
      <c r="L151" s="33">
        <f t="shared" ref="L151:L154" si="36">K151+I151</f>
        <v>99.000640200000021</v>
      </c>
      <c r="M151" s="34"/>
      <c r="N151" s="99"/>
    </row>
    <row r="152" spans="1:15" ht="16.5" thickBot="1" x14ac:dyDescent="0.3">
      <c r="A152" s="35">
        <f>IF(F152&lt;&gt;"",1+MAX($A$5:A151),"")</f>
        <v>110</v>
      </c>
      <c r="B152" s="27"/>
      <c r="C152" s="28" t="s">
        <v>111</v>
      </c>
      <c r="D152" s="29">
        <f>D150</f>
        <v>9428.6324000000004</v>
      </c>
      <c r="E152" s="30">
        <v>0.05</v>
      </c>
      <c r="F152" s="31">
        <f>D152*(1+E152)</f>
        <v>9900.0640200000016</v>
      </c>
      <c r="G152" s="32" t="s">
        <v>54</v>
      </c>
      <c r="H152" s="79"/>
      <c r="I152" s="80"/>
      <c r="J152" s="69">
        <v>0.06</v>
      </c>
      <c r="K152" s="33">
        <f t="shared" si="35"/>
        <v>594.00384120000012</v>
      </c>
      <c r="L152" s="33">
        <f t="shared" si="36"/>
        <v>594.00384120000012</v>
      </c>
      <c r="M152" s="34"/>
      <c r="N152" s="99"/>
    </row>
    <row r="153" spans="1:15" ht="16.5" thickBot="1" x14ac:dyDescent="0.3">
      <c r="A153" s="35">
        <f>IF(F153&lt;&gt;"",1+MAX($A$5:A152),"")</f>
        <v>111</v>
      </c>
      <c r="B153" s="27"/>
      <c r="C153" s="28" t="s">
        <v>112</v>
      </c>
      <c r="D153" s="29">
        <f>D150*1.01</f>
        <v>9522.918724000001</v>
      </c>
      <c r="E153" s="30">
        <v>0.05</v>
      </c>
      <c r="F153" s="31">
        <f>D153*(1+E153)</f>
        <v>9999.0646602000015</v>
      </c>
      <c r="G153" s="32" t="s">
        <v>45</v>
      </c>
      <c r="H153" s="79"/>
      <c r="I153" s="80"/>
      <c r="J153" s="69">
        <v>2.5000000000000001E-2</v>
      </c>
      <c r="K153" s="33">
        <f t="shared" si="35"/>
        <v>249.97661650500004</v>
      </c>
      <c r="L153" s="33">
        <f t="shared" si="36"/>
        <v>249.97661650500004</v>
      </c>
      <c r="M153" s="34"/>
      <c r="N153" s="99"/>
    </row>
    <row r="154" spans="1:15" ht="16.5" thickBot="1" x14ac:dyDescent="0.3">
      <c r="A154" s="35">
        <f>IF(F154&lt;&gt;"",1+MAX($A$5:A153),"")</f>
        <v>112</v>
      </c>
      <c r="B154" s="27"/>
      <c r="C154" s="28" t="s">
        <v>113</v>
      </c>
      <c r="D154" s="29">
        <f>D150*1.5</f>
        <v>14142.9486</v>
      </c>
      <c r="E154" s="30">
        <v>0.05</v>
      </c>
      <c r="F154" s="31">
        <f>D154*(1+E154)</f>
        <v>14850.096030000001</v>
      </c>
      <c r="G154" s="32" t="s">
        <v>45</v>
      </c>
      <c r="H154" s="79"/>
      <c r="I154" s="80"/>
      <c r="J154" s="69">
        <v>3.2000000000000001E-2</v>
      </c>
      <c r="K154" s="33">
        <f t="shared" si="35"/>
        <v>475.20307296000004</v>
      </c>
      <c r="L154" s="33">
        <f t="shared" si="36"/>
        <v>475.20307296000004</v>
      </c>
      <c r="M154" s="34"/>
      <c r="N154" s="99"/>
    </row>
    <row r="155" spans="1:15" ht="16.5" thickBot="1" x14ac:dyDescent="0.3">
      <c r="A155" s="35" t="str">
        <f>IF(F155&lt;&gt;"",1+MAX($A$5:A154),"")</f>
        <v/>
      </c>
      <c r="B155" s="27"/>
      <c r="C155" s="28"/>
      <c r="D155" s="29"/>
      <c r="E155" s="30"/>
      <c r="F155" s="31"/>
      <c r="G155" s="32"/>
      <c r="H155" s="69"/>
      <c r="I155" s="33"/>
      <c r="J155" s="69"/>
      <c r="K155" s="33"/>
      <c r="L155" s="33"/>
      <c r="M155" s="34"/>
      <c r="N155" s="99"/>
    </row>
    <row r="156" spans="1:15" ht="16.5" thickBot="1" x14ac:dyDescent="0.3">
      <c r="A156" s="35" t="str">
        <f>IF(F156&lt;&gt;"",1+MAX($A$5:A155),"")</f>
        <v/>
      </c>
      <c r="B156" s="27"/>
      <c r="C156" s="81" t="s">
        <v>37</v>
      </c>
      <c r="D156" s="60">
        <v>460.68</v>
      </c>
      <c r="E156" s="30"/>
      <c r="F156" s="31"/>
      <c r="G156" s="59" t="s">
        <v>55</v>
      </c>
      <c r="H156" s="69"/>
      <c r="I156" s="33"/>
      <c r="J156" s="69"/>
      <c r="K156" s="33"/>
      <c r="L156" s="33"/>
      <c r="M156" s="34"/>
      <c r="N156" s="99"/>
      <c r="O156" s="101"/>
    </row>
    <row r="157" spans="1:15" ht="16.5" thickBot="1" x14ac:dyDescent="0.3">
      <c r="A157" s="35" t="str">
        <f>IF(F157&lt;&gt;"",1+MAX($A$5:A156),"")</f>
        <v/>
      </c>
      <c r="B157" s="27"/>
      <c r="C157" s="81" t="s">
        <v>49</v>
      </c>
      <c r="D157" s="60">
        <v>9</v>
      </c>
      <c r="E157" s="30"/>
      <c r="F157" s="31"/>
      <c r="G157" s="59" t="s">
        <v>55</v>
      </c>
      <c r="H157" s="69"/>
      <c r="I157" s="33"/>
      <c r="J157" s="69"/>
      <c r="K157" s="33"/>
      <c r="L157" s="33"/>
      <c r="M157" s="34"/>
      <c r="N157" s="99"/>
    </row>
    <row r="158" spans="1:15" ht="16.5" thickBot="1" x14ac:dyDescent="0.3">
      <c r="A158" s="35">
        <f>IF(F158&lt;&gt;"",1+MAX($A$5:A157),"")</f>
        <v>113</v>
      </c>
      <c r="B158" s="27"/>
      <c r="C158" s="28" t="s">
        <v>62</v>
      </c>
      <c r="D158" s="29">
        <f>ROUNDUP((1+D156+42)/2,0)</f>
        <v>252</v>
      </c>
      <c r="E158" s="30">
        <v>0.05</v>
      </c>
      <c r="F158" s="31">
        <f>D158*(1+E158)</f>
        <v>264.60000000000002</v>
      </c>
      <c r="G158" s="32" t="s">
        <v>45</v>
      </c>
      <c r="H158" s="69">
        <v>15</v>
      </c>
      <c r="I158" s="33">
        <f>H158*F158</f>
        <v>3969.0000000000005</v>
      </c>
      <c r="J158" s="69">
        <v>23.6</v>
      </c>
      <c r="K158" s="33">
        <f>F158*J158</f>
        <v>6244.5600000000013</v>
      </c>
      <c r="L158" s="33">
        <f>K158+I158</f>
        <v>10213.560000000001</v>
      </c>
      <c r="M158" s="34"/>
      <c r="N158" s="99"/>
    </row>
    <row r="159" spans="1:15" ht="16.5" thickBot="1" x14ac:dyDescent="0.3">
      <c r="A159" s="35">
        <f>IF(F159&lt;&gt;"",1+MAX($A$5:A158),"")</f>
        <v>114</v>
      </c>
      <c r="B159" s="27"/>
      <c r="C159" s="28" t="s">
        <v>63</v>
      </c>
      <c r="D159" s="29">
        <f>ROUNDUP(((D156+43)*3)/10,0)</f>
        <v>152</v>
      </c>
      <c r="E159" s="30">
        <v>0.05</v>
      </c>
      <c r="F159" s="31">
        <f>D159*(1+E159)</f>
        <v>159.6</v>
      </c>
      <c r="G159" s="32" t="s">
        <v>45</v>
      </c>
      <c r="H159" s="69">
        <v>15</v>
      </c>
      <c r="I159" s="33">
        <f>H159*F159</f>
        <v>2394</v>
      </c>
      <c r="J159" s="69">
        <v>23.6</v>
      </c>
      <c r="K159" s="33">
        <f>F159*J159</f>
        <v>3766.56</v>
      </c>
      <c r="L159" s="33">
        <f>K159+I159</f>
        <v>6160.5599999999995</v>
      </c>
      <c r="M159" s="34"/>
      <c r="N159" s="99"/>
    </row>
    <row r="160" spans="1:15" ht="16.5" thickBot="1" x14ac:dyDescent="0.3">
      <c r="A160" s="35">
        <f>IF(F160&lt;&gt;"",1+MAX($A$5:A159),"")</f>
        <v>115</v>
      </c>
      <c r="B160" s="27"/>
      <c r="C160" s="28" t="s">
        <v>52</v>
      </c>
      <c r="D160" s="29">
        <f>D156*10.34</f>
        <v>4763.4312</v>
      </c>
      <c r="E160" s="30">
        <v>0.05</v>
      </c>
      <c r="F160" s="31">
        <f>D160*(1+E160)</f>
        <v>5001.6027599999998</v>
      </c>
      <c r="G160" s="32" t="s">
        <v>54</v>
      </c>
      <c r="H160" s="69">
        <v>0.4</v>
      </c>
      <c r="I160" s="33">
        <f>H160*F160</f>
        <v>2000.641104</v>
      </c>
      <c r="J160" s="69">
        <v>0.5</v>
      </c>
      <c r="K160" s="33">
        <f>F160*J160</f>
        <v>2500.8013799999999</v>
      </c>
      <c r="L160" s="33">
        <f>K160+I160</f>
        <v>4501.4424840000001</v>
      </c>
      <c r="M160" s="34"/>
      <c r="N160" s="99"/>
    </row>
    <row r="161" spans="1:15" ht="16.5" thickBot="1" x14ac:dyDescent="0.3">
      <c r="A161" s="35">
        <f>IF(F161&lt;&gt;"",1+MAX($A$5:A160),"")</f>
        <v>116</v>
      </c>
      <c r="B161" s="27"/>
      <c r="C161" s="61" t="s">
        <v>53</v>
      </c>
      <c r="D161" s="29">
        <f>((D157*D156*2)-D166)+(43*2*7)</f>
        <v>7310.24</v>
      </c>
      <c r="E161" s="30">
        <v>0.05</v>
      </c>
      <c r="F161" s="31">
        <f>D161*(1+E161)</f>
        <v>7675.7520000000004</v>
      </c>
      <c r="G161" s="32" t="s">
        <v>54</v>
      </c>
      <c r="H161" s="69">
        <v>1.8</v>
      </c>
      <c r="I161" s="33">
        <f>H161*F161</f>
        <v>13816.3536</v>
      </c>
      <c r="J161" s="69">
        <v>0.56000000000000005</v>
      </c>
      <c r="K161" s="33">
        <f>F161*J161</f>
        <v>4298.4211200000009</v>
      </c>
      <c r="L161" s="33">
        <f>K161+I161</f>
        <v>18114.774720000001</v>
      </c>
      <c r="M161" s="34"/>
      <c r="N161" s="99"/>
    </row>
    <row r="162" spans="1:15" ht="16.5" thickBot="1" x14ac:dyDescent="0.3">
      <c r="A162" s="35">
        <f>IF(F162&lt;&gt;"",1+MAX($A$5:A161),"")</f>
        <v>117</v>
      </c>
      <c r="B162" s="27"/>
      <c r="C162" s="28" t="s">
        <v>114</v>
      </c>
      <c r="D162" s="29">
        <f>16*D161/(32)</f>
        <v>3655.12</v>
      </c>
      <c r="E162" s="30">
        <v>0.05</v>
      </c>
      <c r="F162" s="31">
        <f>D162*(1+E162)</f>
        <v>3837.8760000000002</v>
      </c>
      <c r="G162" s="32" t="s">
        <v>55</v>
      </c>
      <c r="H162" s="79"/>
      <c r="I162" s="80"/>
      <c r="J162" s="69">
        <v>0.02</v>
      </c>
      <c r="K162" s="33">
        <f t="shared" ref="K162:K165" si="37">F162*J162</f>
        <v>76.75752</v>
      </c>
      <c r="L162" s="33">
        <f t="shared" ref="L162:L165" si="38">K162+I162</f>
        <v>76.75752</v>
      </c>
      <c r="M162" s="34"/>
      <c r="N162" s="99"/>
    </row>
    <row r="163" spans="1:15" ht="16.5" thickBot="1" x14ac:dyDescent="0.3">
      <c r="A163" s="35">
        <f>IF(F163&lt;&gt;"",1+MAX($A$5:A162),"")</f>
        <v>118</v>
      </c>
      <c r="B163" s="27"/>
      <c r="C163" s="28" t="s">
        <v>111</v>
      </c>
      <c r="D163" s="29">
        <f>D161</f>
        <v>7310.24</v>
      </c>
      <c r="E163" s="30">
        <v>0.05</v>
      </c>
      <c r="F163" s="31">
        <f>D163*(1+E163)</f>
        <v>7675.7520000000004</v>
      </c>
      <c r="G163" s="32" t="s">
        <v>54</v>
      </c>
      <c r="H163" s="79"/>
      <c r="I163" s="80"/>
      <c r="J163" s="69">
        <v>0.06</v>
      </c>
      <c r="K163" s="33">
        <f t="shared" si="37"/>
        <v>460.54512</v>
      </c>
      <c r="L163" s="33">
        <f t="shared" si="38"/>
        <v>460.54512</v>
      </c>
      <c r="M163" s="34"/>
      <c r="N163" s="99"/>
    </row>
    <row r="164" spans="1:15" ht="16.5" thickBot="1" x14ac:dyDescent="0.3">
      <c r="A164" s="35">
        <f>IF(F164&lt;&gt;"",1+MAX($A$5:A163),"")</f>
        <v>119</v>
      </c>
      <c r="B164" s="27"/>
      <c r="C164" s="28" t="s">
        <v>112</v>
      </c>
      <c r="D164" s="29">
        <f>D161*1.01</f>
        <v>7383.3423999999995</v>
      </c>
      <c r="E164" s="30">
        <v>0.05</v>
      </c>
      <c r="F164" s="31">
        <f>D164*(1+E164)</f>
        <v>7752.5095199999996</v>
      </c>
      <c r="G164" s="32" t="s">
        <v>45</v>
      </c>
      <c r="H164" s="79"/>
      <c r="I164" s="80"/>
      <c r="J164" s="69">
        <v>2.5000000000000001E-2</v>
      </c>
      <c r="K164" s="33">
        <f t="shared" si="37"/>
        <v>193.812738</v>
      </c>
      <c r="L164" s="33">
        <f t="shared" si="38"/>
        <v>193.812738</v>
      </c>
      <c r="M164" s="34"/>
      <c r="N164" s="99"/>
    </row>
    <row r="165" spans="1:15" ht="16.5" thickBot="1" x14ac:dyDescent="0.3">
      <c r="A165" s="35">
        <f>IF(F165&lt;&gt;"",1+MAX($A$5:A164),"")</f>
        <v>120</v>
      </c>
      <c r="B165" s="27"/>
      <c r="C165" s="28" t="s">
        <v>113</v>
      </c>
      <c r="D165" s="29">
        <f>D161*1.5</f>
        <v>10965.36</v>
      </c>
      <c r="E165" s="30">
        <v>0.05</v>
      </c>
      <c r="F165" s="31">
        <f>D165*(1+E165)</f>
        <v>11513.628000000001</v>
      </c>
      <c r="G165" s="32" t="s">
        <v>45</v>
      </c>
      <c r="H165" s="79"/>
      <c r="I165" s="80"/>
      <c r="J165" s="69">
        <v>3.2000000000000001E-2</v>
      </c>
      <c r="K165" s="33">
        <f t="shared" si="37"/>
        <v>368.43609600000002</v>
      </c>
      <c r="L165" s="33">
        <f t="shared" si="38"/>
        <v>368.43609600000002</v>
      </c>
      <c r="M165" s="34"/>
      <c r="N165" s="99"/>
    </row>
    <row r="166" spans="1:15" ht="16.5" thickBot="1" x14ac:dyDescent="0.3">
      <c r="A166" s="35">
        <f>IF(F166&lt;&gt;"",1+MAX($A$5:A165),"")</f>
        <v>121</v>
      </c>
      <c r="B166" s="27"/>
      <c r="C166" s="61" t="s">
        <v>60</v>
      </c>
      <c r="D166" s="29">
        <f>(D157*88*2)</f>
        <v>1584</v>
      </c>
      <c r="E166" s="30">
        <v>0.05</v>
      </c>
      <c r="F166" s="31">
        <f>D166*(1+E166)</f>
        <v>1663.2</v>
      </c>
      <c r="G166" s="32" t="s">
        <v>54</v>
      </c>
      <c r="H166" s="69">
        <v>1.8</v>
      </c>
      <c r="I166" s="33">
        <f>H166*F166</f>
        <v>2993.76</v>
      </c>
      <c r="J166" s="69">
        <v>0.7</v>
      </c>
      <c r="K166" s="33">
        <f>F166*J166</f>
        <v>1164.24</v>
      </c>
      <c r="L166" s="33">
        <f>K166+I166</f>
        <v>4158</v>
      </c>
      <c r="M166" s="34"/>
      <c r="N166" s="99"/>
    </row>
    <row r="167" spans="1:15" ht="16.5" thickBot="1" x14ac:dyDescent="0.3">
      <c r="A167" s="35">
        <f>IF(F167&lt;&gt;"",1+MAX($A$5:A166),"")</f>
        <v>122</v>
      </c>
      <c r="B167" s="27"/>
      <c r="C167" s="28" t="s">
        <v>114</v>
      </c>
      <c r="D167" s="29">
        <f>16*D166/(32)</f>
        <v>792</v>
      </c>
      <c r="E167" s="30">
        <v>0.05</v>
      </c>
      <c r="F167" s="31">
        <f>D167*(1+E167)</f>
        <v>831.6</v>
      </c>
      <c r="G167" s="32" t="s">
        <v>55</v>
      </c>
      <c r="H167" s="79"/>
      <c r="I167" s="80"/>
      <c r="J167" s="69">
        <v>0.02</v>
      </c>
      <c r="K167" s="33">
        <f t="shared" ref="K167:K170" si="39">F167*J167</f>
        <v>16.632000000000001</v>
      </c>
      <c r="L167" s="33">
        <f t="shared" ref="L167:L170" si="40">K167+I167</f>
        <v>16.632000000000001</v>
      </c>
      <c r="M167" s="34"/>
      <c r="N167" s="99"/>
    </row>
    <row r="168" spans="1:15" ht="16.5" thickBot="1" x14ac:dyDescent="0.3">
      <c r="A168" s="35">
        <f>IF(F168&lt;&gt;"",1+MAX($A$5:A167),"")</f>
        <v>123</v>
      </c>
      <c r="B168" s="27"/>
      <c r="C168" s="28" t="s">
        <v>111</v>
      </c>
      <c r="D168" s="29">
        <f>D166</f>
        <v>1584</v>
      </c>
      <c r="E168" s="30">
        <v>0.05</v>
      </c>
      <c r="F168" s="31">
        <f>D168*(1+E168)</f>
        <v>1663.2</v>
      </c>
      <c r="G168" s="32" t="s">
        <v>54</v>
      </c>
      <c r="H168" s="79"/>
      <c r="I168" s="80"/>
      <c r="J168" s="69">
        <v>0.06</v>
      </c>
      <c r="K168" s="33">
        <f t="shared" si="39"/>
        <v>99.792000000000002</v>
      </c>
      <c r="L168" s="33">
        <f t="shared" si="40"/>
        <v>99.792000000000002</v>
      </c>
      <c r="M168" s="34"/>
      <c r="N168" s="99"/>
    </row>
    <row r="169" spans="1:15" ht="16.5" thickBot="1" x14ac:dyDescent="0.3">
      <c r="A169" s="35">
        <f>IF(F169&lt;&gt;"",1+MAX($A$5:A168),"")</f>
        <v>124</v>
      </c>
      <c r="B169" s="27"/>
      <c r="C169" s="28" t="s">
        <v>112</v>
      </c>
      <c r="D169" s="29">
        <f>D166*1.01</f>
        <v>1599.84</v>
      </c>
      <c r="E169" s="30">
        <v>0.05</v>
      </c>
      <c r="F169" s="31">
        <f>D169*(1+E169)</f>
        <v>1679.8319999999999</v>
      </c>
      <c r="G169" s="32" t="s">
        <v>45</v>
      </c>
      <c r="H169" s="79"/>
      <c r="I169" s="80"/>
      <c r="J169" s="69">
        <v>2.5000000000000001E-2</v>
      </c>
      <c r="K169" s="33">
        <f t="shared" si="39"/>
        <v>41.995800000000003</v>
      </c>
      <c r="L169" s="33">
        <f t="shared" si="40"/>
        <v>41.995800000000003</v>
      </c>
      <c r="M169" s="34"/>
      <c r="N169" s="99"/>
    </row>
    <row r="170" spans="1:15" ht="16.5" thickBot="1" x14ac:dyDescent="0.3">
      <c r="A170" s="35">
        <f>IF(F170&lt;&gt;"",1+MAX($A$5:A169),"")</f>
        <v>125</v>
      </c>
      <c r="B170" s="27"/>
      <c r="C170" s="28" t="s">
        <v>113</v>
      </c>
      <c r="D170" s="29">
        <f>D166*1.5</f>
        <v>2376</v>
      </c>
      <c r="E170" s="30">
        <v>0.05</v>
      </c>
      <c r="F170" s="31">
        <f>D170*(1+E170)</f>
        <v>2494.8000000000002</v>
      </c>
      <c r="G170" s="32" t="s">
        <v>45</v>
      </c>
      <c r="H170" s="79"/>
      <c r="I170" s="80"/>
      <c r="J170" s="69">
        <v>3.2000000000000001E-2</v>
      </c>
      <c r="K170" s="33">
        <f t="shared" si="39"/>
        <v>79.833600000000004</v>
      </c>
      <c r="L170" s="33">
        <f t="shared" si="40"/>
        <v>79.833600000000004</v>
      </c>
      <c r="M170" s="34"/>
      <c r="N170" s="99"/>
    </row>
    <row r="171" spans="1:15" ht="16.5" thickBot="1" x14ac:dyDescent="0.3">
      <c r="A171" s="35" t="str">
        <f>IF(F171&lt;&gt;"",1+MAX($A$5:A170),"")</f>
        <v/>
      </c>
      <c r="B171" s="27"/>
      <c r="C171" s="28"/>
      <c r="D171" s="29"/>
      <c r="E171" s="30"/>
      <c r="F171" s="31"/>
      <c r="G171" s="32"/>
      <c r="H171" s="69"/>
      <c r="I171" s="33"/>
      <c r="J171" s="69"/>
      <c r="K171" s="33"/>
      <c r="L171" s="33"/>
      <c r="M171" s="34"/>
      <c r="N171" s="99"/>
    </row>
    <row r="172" spans="1:15" ht="16.5" thickBot="1" x14ac:dyDescent="0.3">
      <c r="A172" s="35" t="str">
        <f>IF(F172&lt;&gt;"",1+MAX($A$5:A171),"")</f>
        <v/>
      </c>
      <c r="B172" s="27"/>
      <c r="C172" s="81" t="s">
        <v>38</v>
      </c>
      <c r="D172" s="60">
        <v>475.6</v>
      </c>
      <c r="E172" s="30"/>
      <c r="F172" s="31"/>
      <c r="G172" s="59" t="s">
        <v>55</v>
      </c>
      <c r="H172" s="69"/>
      <c r="I172" s="33"/>
      <c r="J172" s="69"/>
      <c r="K172" s="33"/>
      <c r="L172" s="33"/>
      <c r="M172" s="34"/>
      <c r="N172" s="99"/>
      <c r="O172" s="101"/>
    </row>
    <row r="173" spans="1:15" ht="16.5" thickBot="1" x14ac:dyDescent="0.3">
      <c r="A173" s="35" t="str">
        <f>IF(F173&lt;&gt;"",1+MAX($A$5:A172),"")</f>
        <v/>
      </c>
      <c r="B173" s="27"/>
      <c r="C173" s="81" t="s">
        <v>49</v>
      </c>
      <c r="D173" s="60">
        <v>9</v>
      </c>
      <c r="E173" s="30"/>
      <c r="F173" s="31"/>
      <c r="G173" s="59" t="s">
        <v>55</v>
      </c>
      <c r="H173" s="69"/>
      <c r="I173" s="33"/>
      <c r="J173" s="69"/>
      <c r="K173" s="33"/>
      <c r="L173" s="33"/>
      <c r="M173" s="34"/>
      <c r="N173" s="99"/>
    </row>
    <row r="174" spans="1:15" ht="16.5" thickBot="1" x14ac:dyDescent="0.3">
      <c r="A174" s="35">
        <f>IF(F174&lt;&gt;"",1+MAX($A$5:A173),"")</f>
        <v>126</v>
      </c>
      <c r="B174" s="27"/>
      <c r="C174" s="28" t="s">
        <v>61</v>
      </c>
      <c r="D174" s="29">
        <f>ROUNDUP((1+D172+33)/2,0)</f>
        <v>255</v>
      </c>
      <c r="E174" s="30">
        <v>0.05</v>
      </c>
      <c r="F174" s="31">
        <f>D174*(1+E174)</f>
        <v>267.75</v>
      </c>
      <c r="G174" s="32" t="s">
        <v>45</v>
      </c>
      <c r="H174" s="69">
        <v>21.4</v>
      </c>
      <c r="I174" s="33">
        <f>H174*F174</f>
        <v>5729.8499999999995</v>
      </c>
      <c r="J174" s="69">
        <v>32</v>
      </c>
      <c r="K174" s="33">
        <f>F174*J174</f>
        <v>8568</v>
      </c>
      <c r="L174" s="33">
        <f>K174+I174</f>
        <v>14297.849999999999</v>
      </c>
      <c r="M174" s="34"/>
      <c r="N174" s="99"/>
    </row>
    <row r="175" spans="1:15" ht="16.5" thickBot="1" x14ac:dyDescent="0.3">
      <c r="A175" s="35">
        <f>IF(F175&lt;&gt;"",1+MAX($A$5:A174),"")</f>
        <v>127</v>
      </c>
      <c r="B175" s="27"/>
      <c r="C175" s="28" t="s">
        <v>64</v>
      </c>
      <c r="D175" s="29">
        <f>ROUNDUP(((D172+33)*3)/10,0)</f>
        <v>153</v>
      </c>
      <c r="E175" s="30">
        <v>0.05</v>
      </c>
      <c r="F175" s="31">
        <f>D175*(1+E175)</f>
        <v>160.65</v>
      </c>
      <c r="G175" s="32" t="s">
        <v>45</v>
      </c>
      <c r="H175" s="69">
        <v>21.4</v>
      </c>
      <c r="I175" s="33">
        <f>H175*F175</f>
        <v>3437.91</v>
      </c>
      <c r="J175" s="69">
        <v>32</v>
      </c>
      <c r="K175" s="33">
        <f>F175*J175</f>
        <v>5140.8</v>
      </c>
      <c r="L175" s="33">
        <f>K175+I175</f>
        <v>8578.7099999999991</v>
      </c>
      <c r="M175" s="34"/>
      <c r="N175" s="99"/>
    </row>
    <row r="176" spans="1:15" ht="16.5" thickBot="1" x14ac:dyDescent="0.3">
      <c r="A176" s="35">
        <f>IF(F176&lt;&gt;"",1+MAX($A$5:A175),"")</f>
        <v>128</v>
      </c>
      <c r="B176" s="27"/>
      <c r="C176" s="28" t="s">
        <v>52</v>
      </c>
      <c r="D176" s="29">
        <f>D172*10.34</f>
        <v>4917.7039999999997</v>
      </c>
      <c r="E176" s="30">
        <v>0.05</v>
      </c>
      <c r="F176" s="31">
        <f>D176*(1+E176)</f>
        <v>5163.5892000000003</v>
      </c>
      <c r="G176" s="32" t="s">
        <v>54</v>
      </c>
      <c r="H176" s="69">
        <v>0.4</v>
      </c>
      <c r="I176" s="33">
        <f>H176*F176</f>
        <v>2065.43568</v>
      </c>
      <c r="J176" s="69">
        <v>0.5</v>
      </c>
      <c r="K176" s="33">
        <f>F176*J176</f>
        <v>2581.7946000000002</v>
      </c>
      <c r="L176" s="33">
        <f>K176+I176</f>
        <v>4647.2302799999998</v>
      </c>
      <c r="M176" s="34"/>
      <c r="N176" s="99"/>
    </row>
    <row r="177" spans="1:15" ht="16.5" thickBot="1" x14ac:dyDescent="0.3">
      <c r="A177" s="35">
        <f>IF(F177&lt;&gt;"",1+MAX($A$5:A176),"")</f>
        <v>129</v>
      </c>
      <c r="B177" s="27"/>
      <c r="C177" s="61" t="s">
        <v>53</v>
      </c>
      <c r="D177" s="29">
        <f>(D172*D173*2)+(33*7*2)</f>
        <v>9022.8000000000011</v>
      </c>
      <c r="E177" s="30">
        <v>0.05</v>
      </c>
      <c r="F177" s="31">
        <f>D177*(1+E177)</f>
        <v>9473.9400000000023</v>
      </c>
      <c r="G177" s="32" t="s">
        <v>54</v>
      </c>
      <c r="H177" s="69">
        <v>1.8</v>
      </c>
      <c r="I177" s="33">
        <f>H177*F177</f>
        <v>17053.092000000004</v>
      </c>
      <c r="J177" s="69">
        <v>0.56000000000000005</v>
      </c>
      <c r="K177" s="33">
        <f>F177*J177</f>
        <v>5305.4064000000017</v>
      </c>
      <c r="L177" s="33">
        <f>K177+I177</f>
        <v>22358.498400000004</v>
      </c>
      <c r="M177" s="34"/>
      <c r="N177" s="99"/>
    </row>
    <row r="178" spans="1:15" ht="16.5" thickBot="1" x14ac:dyDescent="0.3">
      <c r="A178" s="35">
        <f>IF(F178&lt;&gt;"",1+MAX($A$5:A177),"")</f>
        <v>130</v>
      </c>
      <c r="B178" s="27"/>
      <c r="C178" s="28" t="s">
        <v>114</v>
      </c>
      <c r="D178" s="29">
        <f>16*D177/(32)</f>
        <v>4511.4000000000005</v>
      </c>
      <c r="E178" s="30">
        <v>0.05</v>
      </c>
      <c r="F178" s="31">
        <f>D178*(1+E178)</f>
        <v>4736.9700000000012</v>
      </c>
      <c r="G178" s="32" t="s">
        <v>55</v>
      </c>
      <c r="H178" s="79"/>
      <c r="I178" s="80"/>
      <c r="J178" s="69">
        <v>0.02</v>
      </c>
      <c r="K178" s="33">
        <f t="shared" ref="K178:K181" si="41">F178*J178</f>
        <v>94.739400000000032</v>
      </c>
      <c r="L178" s="33">
        <f t="shared" ref="L178:L181" si="42">K178+I178</f>
        <v>94.739400000000032</v>
      </c>
      <c r="M178" s="34"/>
      <c r="N178" s="99"/>
    </row>
    <row r="179" spans="1:15" ht="16.5" thickBot="1" x14ac:dyDescent="0.3">
      <c r="A179" s="35">
        <f>IF(F179&lt;&gt;"",1+MAX($A$5:A178),"")</f>
        <v>131</v>
      </c>
      <c r="B179" s="27"/>
      <c r="C179" s="28" t="s">
        <v>111</v>
      </c>
      <c r="D179" s="29">
        <f>D177</f>
        <v>9022.8000000000011</v>
      </c>
      <c r="E179" s="30">
        <v>0.05</v>
      </c>
      <c r="F179" s="31">
        <f>D179*(1+E179)</f>
        <v>9473.9400000000023</v>
      </c>
      <c r="G179" s="32" t="s">
        <v>54</v>
      </c>
      <c r="H179" s="79"/>
      <c r="I179" s="80"/>
      <c r="J179" s="69">
        <v>0.06</v>
      </c>
      <c r="K179" s="33">
        <f t="shared" si="41"/>
        <v>568.43640000000016</v>
      </c>
      <c r="L179" s="33">
        <f t="shared" si="42"/>
        <v>568.43640000000016</v>
      </c>
      <c r="M179" s="34"/>
      <c r="N179" s="99"/>
    </row>
    <row r="180" spans="1:15" ht="16.5" thickBot="1" x14ac:dyDescent="0.3">
      <c r="A180" s="35">
        <f>IF(F180&lt;&gt;"",1+MAX($A$5:A179),"")</f>
        <v>132</v>
      </c>
      <c r="B180" s="27"/>
      <c r="C180" s="28" t="s">
        <v>112</v>
      </c>
      <c r="D180" s="29">
        <f>D177*1.01</f>
        <v>9113.0280000000021</v>
      </c>
      <c r="E180" s="30">
        <v>0.05</v>
      </c>
      <c r="F180" s="31">
        <f>D180*(1+E180)</f>
        <v>9568.6794000000027</v>
      </c>
      <c r="G180" s="32" t="s">
        <v>45</v>
      </c>
      <c r="H180" s="79"/>
      <c r="I180" s="80"/>
      <c r="J180" s="69">
        <v>2.5000000000000001E-2</v>
      </c>
      <c r="K180" s="33">
        <f t="shared" si="41"/>
        <v>239.21698500000008</v>
      </c>
      <c r="L180" s="33">
        <f t="shared" si="42"/>
        <v>239.21698500000008</v>
      </c>
      <c r="M180" s="34"/>
      <c r="N180" s="99"/>
    </row>
    <row r="181" spans="1:15" ht="16.5" thickBot="1" x14ac:dyDescent="0.3">
      <c r="A181" s="35">
        <f>IF(F181&lt;&gt;"",1+MAX($A$5:A180),"")</f>
        <v>133</v>
      </c>
      <c r="B181" s="27"/>
      <c r="C181" s="28" t="s">
        <v>113</v>
      </c>
      <c r="D181" s="29">
        <f>D177*1.5</f>
        <v>13534.2</v>
      </c>
      <c r="E181" s="30">
        <v>0.05</v>
      </c>
      <c r="F181" s="31">
        <f>D181*(1+E181)</f>
        <v>14210.910000000002</v>
      </c>
      <c r="G181" s="32" t="s">
        <v>45</v>
      </c>
      <c r="H181" s="79"/>
      <c r="I181" s="80"/>
      <c r="J181" s="69">
        <v>3.2000000000000001E-2</v>
      </c>
      <c r="K181" s="33">
        <f t="shared" si="41"/>
        <v>454.74912000000006</v>
      </c>
      <c r="L181" s="33">
        <f t="shared" si="42"/>
        <v>454.74912000000006</v>
      </c>
      <c r="M181" s="34"/>
      <c r="N181" s="99"/>
    </row>
    <row r="182" spans="1:15" ht="16.5" thickBot="1" x14ac:dyDescent="0.3">
      <c r="A182" s="35" t="str">
        <f>IF(F182&lt;&gt;"",1+MAX($A$5:A181),"")</f>
        <v/>
      </c>
      <c r="B182" s="27"/>
      <c r="C182" s="28"/>
      <c r="D182" s="29"/>
      <c r="E182" s="30"/>
      <c r="F182" s="31"/>
      <c r="G182" s="32"/>
      <c r="H182" s="69"/>
      <c r="I182" s="33"/>
      <c r="J182" s="69"/>
      <c r="K182" s="33"/>
      <c r="L182" s="33"/>
      <c r="M182" s="34"/>
      <c r="N182" s="99"/>
    </row>
    <row r="183" spans="1:15" ht="16.5" thickBot="1" x14ac:dyDescent="0.3">
      <c r="A183" s="35" t="str">
        <f>IF(F183&lt;&gt;"",1+MAX($A$5:A182),"")</f>
        <v/>
      </c>
      <c r="B183" s="27"/>
      <c r="C183" s="81" t="s">
        <v>41</v>
      </c>
      <c r="D183" s="60">
        <v>323.07</v>
      </c>
      <c r="E183" s="30"/>
      <c r="F183" s="31"/>
      <c r="G183" s="59" t="s">
        <v>55</v>
      </c>
      <c r="H183" s="69"/>
      <c r="I183" s="33"/>
      <c r="J183" s="69"/>
      <c r="K183" s="33"/>
      <c r="L183" s="33"/>
      <c r="M183" s="34"/>
      <c r="N183" s="99"/>
      <c r="O183" s="101"/>
    </row>
    <row r="184" spans="1:15" ht="16.5" thickBot="1" x14ac:dyDescent="0.3">
      <c r="A184" s="35" t="str">
        <f>IF(F184&lt;&gt;"",1+MAX($A$5:A183),"")</f>
        <v/>
      </c>
      <c r="B184" s="27"/>
      <c r="C184" s="81" t="s">
        <v>49</v>
      </c>
      <c r="D184" s="60">
        <v>9</v>
      </c>
      <c r="E184" s="30"/>
      <c r="F184" s="31"/>
      <c r="G184" s="59" t="s">
        <v>55</v>
      </c>
      <c r="H184" s="69"/>
      <c r="I184" s="33"/>
      <c r="J184" s="69"/>
      <c r="K184" s="33"/>
      <c r="L184" s="33"/>
      <c r="M184" s="34"/>
      <c r="N184" s="99"/>
    </row>
    <row r="185" spans="1:15" ht="16.5" thickBot="1" x14ac:dyDescent="0.3">
      <c r="A185" s="35">
        <f>IF(F185&lt;&gt;"",1+MAX($A$5:A184),"")</f>
        <v>134</v>
      </c>
      <c r="B185" s="27"/>
      <c r="C185" s="28" t="s">
        <v>62</v>
      </c>
      <c r="D185" s="29">
        <f>ROUNDUP(1+D183/2,0)*2</f>
        <v>326</v>
      </c>
      <c r="E185" s="30">
        <v>0.05</v>
      </c>
      <c r="F185" s="31">
        <f>D185*(1+E185)</f>
        <v>342.3</v>
      </c>
      <c r="G185" s="32" t="s">
        <v>45</v>
      </c>
      <c r="H185" s="69">
        <v>21.4</v>
      </c>
      <c r="I185" s="33">
        <f>H185*F185</f>
        <v>7325.2199999999993</v>
      </c>
      <c r="J185" s="69">
        <v>32</v>
      </c>
      <c r="K185" s="33">
        <f>F185*J185</f>
        <v>10953.6</v>
      </c>
      <c r="L185" s="33">
        <f>K185+I185</f>
        <v>18278.82</v>
      </c>
      <c r="M185" s="34"/>
      <c r="N185" s="99"/>
    </row>
    <row r="186" spans="1:15" ht="16.5" thickBot="1" x14ac:dyDescent="0.3">
      <c r="A186" s="35">
        <f>IF(F186&lt;&gt;"",1+MAX($A$5:A185),"")</f>
        <v>135</v>
      </c>
      <c r="B186" s="27"/>
      <c r="C186" s="28" t="s">
        <v>65</v>
      </c>
      <c r="D186" s="29">
        <f>ROUNDUP(D183*3/10,0)*2</f>
        <v>194</v>
      </c>
      <c r="E186" s="30">
        <v>0.05</v>
      </c>
      <c r="F186" s="31">
        <f>D186*(1+E186)</f>
        <v>203.70000000000002</v>
      </c>
      <c r="G186" s="32" t="s">
        <v>45</v>
      </c>
      <c r="H186" s="69">
        <v>21.4</v>
      </c>
      <c r="I186" s="33">
        <f>H186*F186</f>
        <v>4359.18</v>
      </c>
      <c r="J186" s="69">
        <v>32</v>
      </c>
      <c r="K186" s="33">
        <f>F186*J186</f>
        <v>6518.4000000000005</v>
      </c>
      <c r="L186" s="33">
        <f>K186+I186</f>
        <v>10877.580000000002</v>
      </c>
      <c r="M186" s="34"/>
      <c r="N186" s="99"/>
    </row>
    <row r="187" spans="1:15" ht="16.5" thickBot="1" x14ac:dyDescent="0.3">
      <c r="A187" s="35">
        <f>IF(F187&lt;&gt;"",1+MAX($A$5:A186),"")</f>
        <v>136</v>
      </c>
      <c r="B187" s="27"/>
      <c r="C187" s="28" t="s">
        <v>52</v>
      </c>
      <c r="D187" s="29">
        <f>D183*10.34*2</f>
        <v>6681.0875999999998</v>
      </c>
      <c r="E187" s="30">
        <v>0.05</v>
      </c>
      <c r="F187" s="31">
        <f>D187*(1+E187)</f>
        <v>7015.1419800000003</v>
      </c>
      <c r="G187" s="32" t="s">
        <v>54</v>
      </c>
      <c r="H187" s="69">
        <v>0.4</v>
      </c>
      <c r="I187" s="33">
        <f>H187*F187</f>
        <v>2806.0567920000003</v>
      </c>
      <c r="J187" s="69">
        <v>0.5</v>
      </c>
      <c r="K187" s="33">
        <f>F187*J187</f>
        <v>3507.5709900000002</v>
      </c>
      <c r="L187" s="33">
        <f>K187+I187</f>
        <v>6313.6277820000005</v>
      </c>
      <c r="M187" s="34"/>
      <c r="N187" s="99"/>
    </row>
    <row r="188" spans="1:15" ht="16.5" thickBot="1" x14ac:dyDescent="0.3">
      <c r="A188" s="35">
        <f>IF(F188&lt;&gt;"",1+MAX($A$5:A187),"")</f>
        <v>137</v>
      </c>
      <c r="B188" s="27"/>
      <c r="C188" s="61" t="s">
        <v>53</v>
      </c>
      <c r="D188" s="29">
        <f>(D184*D183*2)-D193</f>
        <v>5221.26</v>
      </c>
      <c r="E188" s="30">
        <v>0.05</v>
      </c>
      <c r="F188" s="31">
        <f>D188*(1+E188)</f>
        <v>5482.3230000000003</v>
      </c>
      <c r="G188" s="32" t="s">
        <v>54</v>
      </c>
      <c r="H188" s="69">
        <v>1.8</v>
      </c>
      <c r="I188" s="33">
        <f>H188*F188</f>
        <v>9868.1814000000013</v>
      </c>
      <c r="J188" s="69">
        <v>0.56000000000000005</v>
      </c>
      <c r="K188" s="33">
        <f>F188*J188</f>
        <v>3070.1008800000004</v>
      </c>
      <c r="L188" s="33">
        <f>K188+I188</f>
        <v>12938.282280000001</v>
      </c>
      <c r="M188" s="34"/>
      <c r="N188" s="99"/>
    </row>
    <row r="189" spans="1:15" ht="16.5" thickBot="1" x14ac:dyDescent="0.3">
      <c r="A189" s="35">
        <f>IF(F189&lt;&gt;"",1+MAX($A$5:A188),"")</f>
        <v>138</v>
      </c>
      <c r="B189" s="27"/>
      <c r="C189" s="28" t="s">
        <v>114</v>
      </c>
      <c r="D189" s="29">
        <f>16*D188/(32)</f>
        <v>2610.63</v>
      </c>
      <c r="E189" s="30">
        <v>0.05</v>
      </c>
      <c r="F189" s="31">
        <f>D189*(1+E189)</f>
        <v>2741.1615000000002</v>
      </c>
      <c r="G189" s="32" t="s">
        <v>55</v>
      </c>
      <c r="H189" s="79"/>
      <c r="I189" s="80"/>
      <c r="J189" s="69">
        <v>0.02</v>
      </c>
      <c r="K189" s="33">
        <f t="shared" ref="K189:K192" si="43">F189*J189</f>
        <v>54.823230000000002</v>
      </c>
      <c r="L189" s="33">
        <f t="shared" ref="L189:L192" si="44">K189+I189</f>
        <v>54.823230000000002</v>
      </c>
      <c r="M189" s="34"/>
      <c r="N189" s="99"/>
    </row>
    <row r="190" spans="1:15" ht="16.5" thickBot="1" x14ac:dyDescent="0.3">
      <c r="A190" s="35">
        <f>IF(F190&lt;&gt;"",1+MAX($A$5:A189),"")</f>
        <v>139</v>
      </c>
      <c r="B190" s="27"/>
      <c r="C190" s="28" t="s">
        <v>111</v>
      </c>
      <c r="D190" s="29">
        <f>D188</f>
        <v>5221.26</v>
      </c>
      <c r="E190" s="30">
        <v>0.05</v>
      </c>
      <c r="F190" s="31">
        <f>D190*(1+E190)</f>
        <v>5482.3230000000003</v>
      </c>
      <c r="G190" s="32" t="s">
        <v>54</v>
      </c>
      <c r="H190" s="79"/>
      <c r="I190" s="80"/>
      <c r="J190" s="69">
        <v>0.06</v>
      </c>
      <c r="K190" s="33">
        <f t="shared" si="43"/>
        <v>328.93938000000003</v>
      </c>
      <c r="L190" s="33">
        <f t="shared" si="44"/>
        <v>328.93938000000003</v>
      </c>
      <c r="M190" s="34"/>
      <c r="N190" s="99"/>
    </row>
    <row r="191" spans="1:15" ht="16.5" thickBot="1" x14ac:dyDescent="0.3">
      <c r="A191" s="35">
        <f>IF(F191&lt;&gt;"",1+MAX($A$5:A190),"")</f>
        <v>140</v>
      </c>
      <c r="B191" s="27"/>
      <c r="C191" s="28" t="s">
        <v>112</v>
      </c>
      <c r="D191" s="29">
        <f>D188*1.01</f>
        <v>5273.4726000000001</v>
      </c>
      <c r="E191" s="30">
        <v>0.05</v>
      </c>
      <c r="F191" s="31">
        <f>D191*(1+E191)</f>
        <v>5537.1462300000003</v>
      </c>
      <c r="G191" s="32" t="s">
        <v>45</v>
      </c>
      <c r="H191" s="79"/>
      <c r="I191" s="80"/>
      <c r="J191" s="69">
        <v>2.5000000000000001E-2</v>
      </c>
      <c r="K191" s="33">
        <f t="shared" si="43"/>
        <v>138.42865575000002</v>
      </c>
      <c r="L191" s="33">
        <f t="shared" si="44"/>
        <v>138.42865575000002</v>
      </c>
      <c r="M191" s="34"/>
      <c r="N191" s="99"/>
    </row>
    <row r="192" spans="1:15" ht="16.5" thickBot="1" x14ac:dyDescent="0.3">
      <c r="A192" s="35">
        <f>IF(F192&lt;&gt;"",1+MAX($A$5:A191),"")</f>
        <v>141</v>
      </c>
      <c r="B192" s="27"/>
      <c r="C192" s="28" t="s">
        <v>113</v>
      </c>
      <c r="D192" s="29">
        <f>D188*1.5</f>
        <v>7831.89</v>
      </c>
      <c r="E192" s="30">
        <v>0.05</v>
      </c>
      <c r="F192" s="31">
        <f>D192*(1+E192)</f>
        <v>8223.4845000000005</v>
      </c>
      <c r="G192" s="32" t="s">
        <v>45</v>
      </c>
      <c r="H192" s="79"/>
      <c r="I192" s="80"/>
      <c r="J192" s="69">
        <v>3.2000000000000001E-2</v>
      </c>
      <c r="K192" s="33">
        <f t="shared" si="43"/>
        <v>263.15150400000005</v>
      </c>
      <c r="L192" s="33">
        <f t="shared" si="44"/>
        <v>263.15150400000005</v>
      </c>
      <c r="M192" s="34"/>
      <c r="N192" s="99"/>
    </row>
    <row r="193" spans="1:15" ht="16.5" thickBot="1" x14ac:dyDescent="0.3">
      <c r="A193" s="35">
        <f>IF(F193&lt;&gt;"",1+MAX($A$5:A192),"")</f>
        <v>142</v>
      </c>
      <c r="B193" s="27"/>
      <c r="C193" s="61" t="s">
        <v>60</v>
      </c>
      <c r="D193" s="29">
        <f>(D184*33*2)</f>
        <v>594</v>
      </c>
      <c r="E193" s="30">
        <v>0.05</v>
      </c>
      <c r="F193" s="31">
        <f>D193*(1+E193)</f>
        <v>623.70000000000005</v>
      </c>
      <c r="G193" s="32" t="s">
        <v>54</v>
      </c>
      <c r="H193" s="69">
        <v>1.8</v>
      </c>
      <c r="I193" s="33">
        <f>H193*F193</f>
        <v>1122.6600000000001</v>
      </c>
      <c r="J193" s="69">
        <v>0.7</v>
      </c>
      <c r="K193" s="33">
        <f>F193*J193</f>
        <v>436.59000000000003</v>
      </c>
      <c r="L193" s="33">
        <f>K193+I193</f>
        <v>1559.25</v>
      </c>
      <c r="M193" s="34"/>
      <c r="N193" s="99"/>
    </row>
    <row r="194" spans="1:15" ht="16.5" thickBot="1" x14ac:dyDescent="0.3">
      <c r="A194" s="35">
        <f>IF(F194&lt;&gt;"",1+MAX($A$5:A193),"")</f>
        <v>143</v>
      </c>
      <c r="B194" s="27"/>
      <c r="C194" s="28" t="s">
        <v>114</v>
      </c>
      <c r="D194" s="29">
        <f>16*D193/(32)</f>
        <v>297</v>
      </c>
      <c r="E194" s="30">
        <v>0.05</v>
      </c>
      <c r="F194" s="31">
        <f>D194*(1+E194)</f>
        <v>311.85000000000002</v>
      </c>
      <c r="G194" s="32" t="s">
        <v>55</v>
      </c>
      <c r="H194" s="79"/>
      <c r="I194" s="80"/>
      <c r="J194" s="69">
        <v>0.02</v>
      </c>
      <c r="K194" s="33">
        <f t="shared" ref="K194:K197" si="45">F194*J194</f>
        <v>6.237000000000001</v>
      </c>
      <c r="L194" s="33">
        <f t="shared" ref="L194:L197" si="46">K194+I194</f>
        <v>6.237000000000001</v>
      </c>
      <c r="M194" s="34"/>
      <c r="N194" s="99"/>
    </row>
    <row r="195" spans="1:15" ht="16.5" thickBot="1" x14ac:dyDescent="0.3">
      <c r="A195" s="35">
        <f>IF(F195&lt;&gt;"",1+MAX($A$5:A194),"")</f>
        <v>144</v>
      </c>
      <c r="B195" s="27"/>
      <c r="C195" s="28" t="s">
        <v>111</v>
      </c>
      <c r="D195" s="29">
        <f>D193</f>
        <v>594</v>
      </c>
      <c r="E195" s="30">
        <v>0.05</v>
      </c>
      <c r="F195" s="31">
        <f>D195*(1+E195)</f>
        <v>623.70000000000005</v>
      </c>
      <c r="G195" s="32" t="s">
        <v>54</v>
      </c>
      <c r="H195" s="79"/>
      <c r="I195" s="80"/>
      <c r="J195" s="69">
        <v>0.06</v>
      </c>
      <c r="K195" s="33">
        <f t="shared" si="45"/>
        <v>37.422000000000004</v>
      </c>
      <c r="L195" s="33">
        <f t="shared" si="46"/>
        <v>37.422000000000004</v>
      </c>
      <c r="M195" s="34"/>
      <c r="N195" s="99"/>
    </row>
    <row r="196" spans="1:15" ht="16.5" thickBot="1" x14ac:dyDescent="0.3">
      <c r="A196" s="35">
        <f>IF(F196&lt;&gt;"",1+MAX($A$5:A195),"")</f>
        <v>145</v>
      </c>
      <c r="B196" s="27"/>
      <c r="C196" s="28" t="s">
        <v>112</v>
      </c>
      <c r="D196" s="29">
        <f>D193*1.01</f>
        <v>599.94000000000005</v>
      </c>
      <c r="E196" s="30">
        <v>0.05</v>
      </c>
      <c r="F196" s="31">
        <f>D196*(1+E196)</f>
        <v>629.93700000000013</v>
      </c>
      <c r="G196" s="32" t="s">
        <v>45</v>
      </c>
      <c r="H196" s="79"/>
      <c r="I196" s="80"/>
      <c r="J196" s="69">
        <v>2.5000000000000001E-2</v>
      </c>
      <c r="K196" s="33">
        <f t="shared" si="45"/>
        <v>15.748425000000005</v>
      </c>
      <c r="L196" s="33">
        <f t="shared" si="46"/>
        <v>15.748425000000005</v>
      </c>
      <c r="M196" s="34"/>
      <c r="N196" s="99"/>
    </row>
    <row r="197" spans="1:15" ht="16.5" thickBot="1" x14ac:dyDescent="0.3">
      <c r="A197" s="35">
        <f>IF(F197&lt;&gt;"",1+MAX($A$5:A196),"")</f>
        <v>146</v>
      </c>
      <c r="B197" s="27"/>
      <c r="C197" s="28" t="s">
        <v>113</v>
      </c>
      <c r="D197" s="29">
        <f>D193*1.5</f>
        <v>891</v>
      </c>
      <c r="E197" s="30">
        <v>0.05</v>
      </c>
      <c r="F197" s="31">
        <f>D197*(1+E197)</f>
        <v>935.55000000000007</v>
      </c>
      <c r="G197" s="32" t="s">
        <v>45</v>
      </c>
      <c r="H197" s="79"/>
      <c r="I197" s="80"/>
      <c r="J197" s="69">
        <v>3.2000000000000001E-2</v>
      </c>
      <c r="K197" s="33">
        <f t="shared" si="45"/>
        <v>29.937600000000003</v>
      </c>
      <c r="L197" s="33">
        <f t="shared" si="46"/>
        <v>29.937600000000003</v>
      </c>
      <c r="M197" s="34"/>
      <c r="N197" s="99"/>
    </row>
    <row r="198" spans="1:15" ht="16.5" thickBot="1" x14ac:dyDescent="0.3">
      <c r="A198" s="35" t="str">
        <f>IF(F198&lt;&gt;"",1+MAX($A$5:A197),"")</f>
        <v/>
      </c>
      <c r="B198" s="27"/>
      <c r="C198" s="28"/>
      <c r="D198" s="29"/>
      <c r="E198" s="30"/>
      <c r="F198" s="31"/>
      <c r="G198" s="32"/>
      <c r="H198" s="69"/>
      <c r="I198" s="33"/>
      <c r="J198" s="69"/>
      <c r="K198" s="33"/>
      <c r="L198" s="33"/>
      <c r="M198" s="34"/>
      <c r="N198" s="99"/>
    </row>
    <row r="199" spans="1:15" ht="16.5" thickBot="1" x14ac:dyDescent="0.3">
      <c r="A199" s="35" t="str">
        <f>IF(F199&lt;&gt;"",1+MAX($A$5:A198),"")</f>
        <v/>
      </c>
      <c r="B199" s="27"/>
      <c r="C199" s="81" t="s">
        <v>84</v>
      </c>
      <c r="D199" s="60">
        <v>814</v>
      </c>
      <c r="E199" s="30"/>
      <c r="F199" s="31"/>
      <c r="G199" s="59" t="s">
        <v>55</v>
      </c>
      <c r="H199" s="69"/>
      <c r="I199" s="33"/>
      <c r="J199" s="69"/>
      <c r="K199" s="33"/>
      <c r="L199" s="33"/>
      <c r="M199" s="34"/>
      <c r="N199" s="99"/>
      <c r="O199" s="101"/>
    </row>
    <row r="200" spans="1:15" ht="16.5" thickBot="1" x14ac:dyDescent="0.3">
      <c r="A200" s="35" t="str">
        <f>IF(F200&lt;&gt;"",1+MAX($A$5:A199),"")</f>
        <v/>
      </c>
      <c r="B200" s="27"/>
      <c r="C200" s="81" t="s">
        <v>49</v>
      </c>
      <c r="D200" s="60">
        <v>16.5</v>
      </c>
      <c r="E200" s="30"/>
      <c r="F200" s="31"/>
      <c r="G200" s="59" t="s">
        <v>55</v>
      </c>
      <c r="H200" s="69"/>
      <c r="I200" s="33"/>
      <c r="J200" s="69"/>
      <c r="K200" s="33"/>
      <c r="L200" s="33"/>
      <c r="M200" s="34"/>
      <c r="N200" s="99"/>
    </row>
    <row r="201" spans="1:15" ht="16.5" thickBot="1" x14ac:dyDescent="0.3">
      <c r="A201" s="35">
        <f>IF(F201&lt;&gt;"",1+MAX($A$5:A200),"")</f>
        <v>147</v>
      </c>
      <c r="B201" s="27"/>
      <c r="C201" s="28" t="s">
        <v>92</v>
      </c>
      <c r="D201" s="29">
        <f>ROUNDUP(1+D199/1.34,0)</f>
        <v>609</v>
      </c>
      <c r="E201" s="30">
        <v>0.05</v>
      </c>
      <c r="F201" s="31">
        <f>D201*(1+E201)</f>
        <v>639.45000000000005</v>
      </c>
      <c r="G201" s="32" t="s">
        <v>45</v>
      </c>
      <c r="H201" s="69">
        <f>3.55*18</f>
        <v>63.9</v>
      </c>
      <c r="I201" s="33">
        <f>H201*F201</f>
        <v>40860.855000000003</v>
      </c>
      <c r="J201" s="69">
        <f>4.13*18</f>
        <v>74.34</v>
      </c>
      <c r="K201" s="33">
        <f>F201*J201</f>
        <v>47536.713000000003</v>
      </c>
      <c r="L201" s="33">
        <f>K201+I201</f>
        <v>88397.567999999999</v>
      </c>
      <c r="M201" s="34"/>
      <c r="N201" s="99"/>
    </row>
    <row r="202" spans="1:15" ht="16.5" thickBot="1" x14ac:dyDescent="0.3">
      <c r="A202" s="35">
        <f>IF(F202&lt;&gt;"",1+MAX($A$5:A201),"")</f>
        <v>148</v>
      </c>
      <c r="B202" s="27"/>
      <c r="C202" s="28" t="s">
        <v>85</v>
      </c>
      <c r="D202" s="29">
        <f>ROUNDUP(D199*3/10,0)</f>
        <v>245</v>
      </c>
      <c r="E202" s="30">
        <v>0.05</v>
      </c>
      <c r="F202" s="31">
        <f>D202*(1+E202)</f>
        <v>257.25</v>
      </c>
      <c r="G202" s="32" t="s">
        <v>45</v>
      </c>
      <c r="H202" s="69">
        <v>27.3</v>
      </c>
      <c r="I202" s="33">
        <f>H202*F202</f>
        <v>7022.9250000000002</v>
      </c>
      <c r="J202" s="69">
        <v>39.1</v>
      </c>
      <c r="K202" s="33">
        <f>F202*J202</f>
        <v>10058.475</v>
      </c>
      <c r="L202" s="33">
        <f>K202+I202</f>
        <v>17081.400000000001</v>
      </c>
      <c r="M202" s="34"/>
      <c r="N202" s="99"/>
    </row>
    <row r="203" spans="1:15" ht="31.5" customHeight="1" thickBot="1" x14ac:dyDescent="0.3">
      <c r="A203" s="35">
        <f>IF(F203&lt;&gt;"",1+MAX($A$5:A202),"")</f>
        <v>149</v>
      </c>
      <c r="B203" s="95" t="s">
        <v>94</v>
      </c>
      <c r="C203" s="28" t="s">
        <v>91</v>
      </c>
      <c r="D203" s="29">
        <f>1+174/1.34</f>
        <v>130.85074626865671</v>
      </c>
      <c r="E203" s="30">
        <v>0.05</v>
      </c>
      <c r="F203" s="31">
        <f>D203*(1+E203)</f>
        <v>137.39328358208954</v>
      </c>
      <c r="G203" s="32" t="s">
        <v>45</v>
      </c>
      <c r="H203" s="69">
        <f>H131</f>
        <v>8.56</v>
      </c>
      <c r="I203" s="33">
        <f t="shared" ref="I203:I204" si="47">H203*F203</f>
        <v>1176.0865074626865</v>
      </c>
      <c r="J203" s="69">
        <f>J131</f>
        <v>12.8</v>
      </c>
      <c r="K203" s="33">
        <f t="shared" ref="K203:K204" si="48">F203*J203</f>
        <v>1758.6340298507462</v>
      </c>
      <c r="L203" s="33">
        <f t="shared" ref="L203:L204" si="49">K203+I203</f>
        <v>2934.7205373134329</v>
      </c>
      <c r="M203" s="34"/>
      <c r="N203" s="99"/>
    </row>
    <row r="204" spans="1:15" ht="16.5" thickBot="1" x14ac:dyDescent="0.3">
      <c r="A204" s="35">
        <f>IF(F204&lt;&gt;"",1+MAX($A$5:A203),"")</f>
        <v>150</v>
      </c>
      <c r="B204" s="95"/>
      <c r="C204" s="28" t="s">
        <v>95</v>
      </c>
      <c r="D204" s="29">
        <f>174*3/10</f>
        <v>52.2</v>
      </c>
      <c r="E204" s="30">
        <v>0.05</v>
      </c>
      <c r="F204" s="31">
        <f>D204*(1+E204)</f>
        <v>54.81</v>
      </c>
      <c r="G204" s="32" t="s">
        <v>45</v>
      </c>
      <c r="H204" s="69">
        <f>H132</f>
        <v>21.4</v>
      </c>
      <c r="I204" s="33">
        <f t="shared" si="47"/>
        <v>1172.934</v>
      </c>
      <c r="J204" s="69">
        <f>J132</f>
        <v>32</v>
      </c>
      <c r="K204" s="33">
        <f t="shared" si="48"/>
        <v>1753.92</v>
      </c>
      <c r="L204" s="33">
        <f t="shared" si="49"/>
        <v>2926.8540000000003</v>
      </c>
      <c r="M204" s="34"/>
      <c r="N204" s="99"/>
    </row>
    <row r="205" spans="1:15" ht="16.5" thickBot="1" x14ac:dyDescent="0.3">
      <c r="A205" s="35">
        <f>IF(F205&lt;&gt;"",1+MAX($A$5:A204),"")</f>
        <v>151</v>
      </c>
      <c r="B205" s="27"/>
      <c r="C205" s="28" t="s">
        <v>93</v>
      </c>
      <c r="D205" s="29">
        <f>D199*D200</f>
        <v>13431</v>
      </c>
      <c r="E205" s="30">
        <v>0.05</v>
      </c>
      <c r="F205" s="31">
        <f>D205*(1+E205)</f>
        <v>14102.550000000001</v>
      </c>
      <c r="G205" s="32" t="s">
        <v>54</v>
      </c>
      <c r="H205" s="69">
        <f>H133</f>
        <v>0.5</v>
      </c>
      <c r="I205" s="33">
        <f>H205*F205</f>
        <v>7051.2750000000005</v>
      </c>
      <c r="J205" s="69">
        <f>J133</f>
        <v>0.55000000000000004</v>
      </c>
      <c r="K205" s="33">
        <f>F205*J205</f>
        <v>7756.4025000000011</v>
      </c>
      <c r="L205" s="33">
        <f>K205+I205</f>
        <v>14807.677500000002</v>
      </c>
      <c r="M205" s="34"/>
      <c r="N205" s="99"/>
    </row>
    <row r="206" spans="1:15" ht="16.5" thickBot="1" x14ac:dyDescent="0.3">
      <c r="A206" s="35">
        <f>IF(F206&lt;&gt;"",1+MAX($A$5:A205),"")</f>
        <v>152</v>
      </c>
      <c r="B206" s="27"/>
      <c r="C206" s="28" t="s">
        <v>87</v>
      </c>
      <c r="D206" s="29">
        <f>D199*10</f>
        <v>8140</v>
      </c>
      <c r="E206" s="30">
        <v>0.05</v>
      </c>
      <c r="F206" s="31">
        <f>D206*(1+E206)</f>
        <v>8547</v>
      </c>
      <c r="G206" s="32" t="s">
        <v>54</v>
      </c>
      <c r="H206" s="69">
        <f>H134</f>
        <v>0.75</v>
      </c>
      <c r="I206" s="33">
        <f>H206*F206</f>
        <v>6410.25</v>
      </c>
      <c r="J206" s="69">
        <f>J134</f>
        <v>0.95</v>
      </c>
      <c r="K206" s="33">
        <f>F206*J206</f>
        <v>8119.65</v>
      </c>
      <c r="L206" s="33">
        <f>K206+I206</f>
        <v>14529.9</v>
      </c>
      <c r="M206" s="34"/>
      <c r="N206" s="99"/>
    </row>
    <row r="207" spans="1:15" ht="16.5" thickBot="1" x14ac:dyDescent="0.3">
      <c r="A207" s="35">
        <f>IF(F207&lt;&gt;"",1+MAX($A$5:A206),"")</f>
        <v>153</v>
      </c>
      <c r="B207" s="27"/>
      <c r="C207" s="61" t="s">
        <v>90</v>
      </c>
      <c r="D207" s="29">
        <f>(D199*D200)+(174*12)</f>
        <v>15519</v>
      </c>
      <c r="E207" s="30">
        <v>0.05</v>
      </c>
      <c r="F207" s="31">
        <f>D207*(1+E207)</f>
        <v>16294.95</v>
      </c>
      <c r="G207" s="32" t="s">
        <v>54</v>
      </c>
      <c r="H207" s="69">
        <v>1.8</v>
      </c>
      <c r="I207" s="33">
        <f>H207*F207</f>
        <v>29330.910000000003</v>
      </c>
      <c r="J207" s="69">
        <v>0.56000000000000005</v>
      </c>
      <c r="K207" s="33">
        <f>F207*J207</f>
        <v>9125.1720000000005</v>
      </c>
      <c r="L207" s="33">
        <f>K207+I207</f>
        <v>38456.082000000002</v>
      </c>
      <c r="M207" s="34"/>
      <c r="N207" s="99"/>
    </row>
    <row r="208" spans="1:15" ht="16.5" thickBot="1" x14ac:dyDescent="0.3">
      <c r="A208" s="35">
        <f>IF(F208&lt;&gt;"",1+MAX($A$5:A207),"")</f>
        <v>154</v>
      </c>
      <c r="B208" s="27"/>
      <c r="C208" s="28" t="s">
        <v>114</v>
      </c>
      <c r="D208" s="29">
        <f>16*D207/(32)</f>
        <v>7759.5</v>
      </c>
      <c r="E208" s="30">
        <v>0.05</v>
      </c>
      <c r="F208" s="31">
        <f>D208*(1+E208)</f>
        <v>8147.4750000000004</v>
      </c>
      <c r="G208" s="32" t="s">
        <v>55</v>
      </c>
      <c r="H208" s="79"/>
      <c r="I208" s="80"/>
      <c r="J208" s="69">
        <v>0.02</v>
      </c>
      <c r="K208" s="33">
        <f t="shared" ref="K208:K211" si="50">F208*J208</f>
        <v>162.9495</v>
      </c>
      <c r="L208" s="33">
        <f t="shared" ref="L208:L211" si="51">K208+I208</f>
        <v>162.9495</v>
      </c>
      <c r="M208" s="34"/>
      <c r="N208" s="99"/>
    </row>
    <row r="209" spans="1:14" ht="16.5" thickBot="1" x14ac:dyDescent="0.3">
      <c r="A209" s="35">
        <f>IF(F209&lt;&gt;"",1+MAX($A$5:A208),"")</f>
        <v>155</v>
      </c>
      <c r="B209" s="27"/>
      <c r="C209" s="28" t="s">
        <v>111</v>
      </c>
      <c r="D209" s="29">
        <f>D207</f>
        <v>15519</v>
      </c>
      <c r="E209" s="30">
        <v>0.05</v>
      </c>
      <c r="F209" s="31">
        <f>D209*(1+E209)</f>
        <v>16294.95</v>
      </c>
      <c r="G209" s="32" t="s">
        <v>54</v>
      </c>
      <c r="H209" s="79"/>
      <c r="I209" s="80"/>
      <c r="J209" s="69">
        <v>0.06</v>
      </c>
      <c r="K209" s="33">
        <f t="shared" si="50"/>
        <v>977.697</v>
      </c>
      <c r="L209" s="33">
        <f t="shared" si="51"/>
        <v>977.697</v>
      </c>
      <c r="M209" s="34"/>
      <c r="N209" s="99"/>
    </row>
    <row r="210" spans="1:14" ht="16.5" thickBot="1" x14ac:dyDescent="0.3">
      <c r="A210" s="35">
        <f>IF(F210&lt;&gt;"",1+MAX($A$5:A209),"")</f>
        <v>156</v>
      </c>
      <c r="B210" s="27"/>
      <c r="C210" s="28" t="s">
        <v>112</v>
      </c>
      <c r="D210" s="29">
        <f>D207*1.01</f>
        <v>15674.19</v>
      </c>
      <c r="E210" s="30">
        <v>0.05</v>
      </c>
      <c r="F210" s="31">
        <f>D210*(1+E210)</f>
        <v>16457.8995</v>
      </c>
      <c r="G210" s="32" t="s">
        <v>45</v>
      </c>
      <c r="H210" s="79"/>
      <c r="I210" s="80"/>
      <c r="J210" s="69">
        <v>2.5000000000000001E-2</v>
      </c>
      <c r="K210" s="33">
        <f t="shared" si="50"/>
        <v>411.44748750000002</v>
      </c>
      <c r="L210" s="33">
        <f t="shared" si="51"/>
        <v>411.44748750000002</v>
      </c>
      <c r="M210" s="34"/>
      <c r="N210" s="99"/>
    </row>
    <row r="211" spans="1:14" ht="16.5" thickBot="1" x14ac:dyDescent="0.3">
      <c r="A211" s="35">
        <f>IF(F211&lt;&gt;"",1+MAX($A$5:A210),"")</f>
        <v>157</v>
      </c>
      <c r="B211" s="27"/>
      <c r="C211" s="28" t="s">
        <v>113</v>
      </c>
      <c r="D211" s="29">
        <f>D207*1.5</f>
        <v>23278.5</v>
      </c>
      <c r="E211" s="30">
        <v>0.05</v>
      </c>
      <c r="F211" s="31">
        <f>D211*(1+E211)</f>
        <v>24442.424999999999</v>
      </c>
      <c r="G211" s="32" t="s">
        <v>45</v>
      </c>
      <c r="H211" s="79"/>
      <c r="I211" s="80"/>
      <c r="J211" s="69">
        <v>3.2000000000000001E-2</v>
      </c>
      <c r="K211" s="33">
        <f t="shared" si="50"/>
        <v>782.1576</v>
      </c>
      <c r="L211" s="33">
        <f t="shared" si="51"/>
        <v>782.1576</v>
      </c>
      <c r="M211" s="34"/>
      <c r="N211" s="99"/>
    </row>
    <row r="212" spans="1:14" ht="16.5" thickBot="1" x14ac:dyDescent="0.3">
      <c r="A212" s="35">
        <f>IF(F212&lt;&gt;"",1+MAX($A$5:A211),"")</f>
        <v>158</v>
      </c>
      <c r="B212" s="27"/>
      <c r="C212" s="28" t="s">
        <v>88</v>
      </c>
      <c r="D212" s="29">
        <f>(D199*10)</f>
        <v>8140</v>
      </c>
      <c r="E212" s="30">
        <v>0.05</v>
      </c>
      <c r="F212" s="31">
        <f>D212*(1+E212)</f>
        <v>8547</v>
      </c>
      <c r="G212" s="32" t="s">
        <v>54</v>
      </c>
      <c r="H212" s="69">
        <f>H140</f>
        <v>1.8</v>
      </c>
      <c r="I212" s="33">
        <f>H212*F212</f>
        <v>15384.6</v>
      </c>
      <c r="J212" s="69">
        <f>J140</f>
        <v>1.6</v>
      </c>
      <c r="K212" s="33">
        <f>F212*J212</f>
        <v>13675.2</v>
      </c>
      <c r="L212" s="33">
        <f>K212+I212</f>
        <v>29059.800000000003</v>
      </c>
      <c r="M212" s="34"/>
      <c r="N212" s="99"/>
    </row>
    <row r="213" spans="1:14" ht="16.5" thickBot="1" x14ac:dyDescent="0.3">
      <c r="A213" s="35">
        <f>IF(F213&lt;&gt;"",1+MAX($A$5:A212),"")</f>
        <v>159</v>
      </c>
      <c r="B213" s="27"/>
      <c r="C213" s="28" t="s">
        <v>89</v>
      </c>
      <c r="D213" s="29">
        <f>(D199*10)</f>
        <v>8140</v>
      </c>
      <c r="E213" s="30">
        <v>0.05</v>
      </c>
      <c r="F213" s="31">
        <f>D213*(1+E213)</f>
        <v>8547</v>
      </c>
      <c r="G213" s="32" t="s">
        <v>54</v>
      </c>
      <c r="H213" s="69">
        <f>H141</f>
        <v>0.4</v>
      </c>
      <c r="I213" s="33">
        <f>H213*F213</f>
        <v>3418.8</v>
      </c>
      <c r="J213" s="69">
        <f>J141</f>
        <v>0.3</v>
      </c>
      <c r="K213" s="33">
        <f>F213*J213</f>
        <v>2564.1</v>
      </c>
      <c r="L213" s="33">
        <f>K213+I213</f>
        <v>5982.9</v>
      </c>
      <c r="M213" s="34"/>
      <c r="N213" s="99"/>
    </row>
    <row r="214" spans="1:14" ht="16.5" thickBot="1" x14ac:dyDescent="0.3">
      <c r="A214" s="35" t="str">
        <f>IF(F214&lt;&gt;"",1+MAX($A$5:A213),"")</f>
        <v/>
      </c>
      <c r="B214" s="27"/>
      <c r="C214" s="28"/>
      <c r="D214" s="29"/>
      <c r="E214" s="30"/>
      <c r="F214" s="31"/>
      <c r="G214" s="32"/>
      <c r="H214" s="69"/>
      <c r="I214" s="33"/>
      <c r="J214" s="69"/>
      <c r="K214" s="33"/>
      <c r="L214" s="33"/>
      <c r="M214" s="34"/>
      <c r="N214" s="99"/>
    </row>
    <row r="215" spans="1:14" ht="16.5" thickBot="1" x14ac:dyDescent="0.3">
      <c r="A215" s="35" t="str">
        <f>IF(F215&lt;&gt;"",1+MAX($A$5:A214),"")</f>
        <v/>
      </c>
      <c r="B215" s="93" t="s">
        <v>107</v>
      </c>
      <c r="C215" s="94"/>
      <c r="D215" s="29"/>
      <c r="E215" s="30"/>
      <c r="F215" s="31"/>
      <c r="G215" s="32"/>
      <c r="H215" s="69"/>
      <c r="I215" s="33"/>
      <c r="J215" s="69"/>
      <c r="K215" s="33"/>
      <c r="L215" s="33"/>
      <c r="M215" s="34"/>
      <c r="N215" s="99"/>
    </row>
    <row r="216" spans="1:14" ht="16.5" thickBot="1" x14ac:dyDescent="0.3">
      <c r="A216" s="35" t="str">
        <f>IF(F216&lt;&gt;"",1+MAX($A$5:A215),"")</f>
        <v/>
      </c>
      <c r="B216" s="27"/>
      <c r="C216" s="28"/>
      <c r="D216" s="29"/>
      <c r="E216" s="30"/>
      <c r="F216" s="31"/>
      <c r="G216" s="32"/>
      <c r="H216" s="69"/>
      <c r="I216" s="33"/>
      <c r="J216" s="69"/>
      <c r="K216" s="33"/>
      <c r="L216" s="33"/>
      <c r="M216" s="34"/>
      <c r="N216" s="99"/>
    </row>
    <row r="217" spans="1:14" ht="16.5" thickBot="1" x14ac:dyDescent="0.3">
      <c r="A217" s="35" t="str">
        <f>IF(F217&lt;&gt;"",1+MAX($A$5:A216),"")</f>
        <v/>
      </c>
      <c r="B217" s="27"/>
      <c r="C217" s="81" t="s">
        <v>96</v>
      </c>
      <c r="D217" s="29">
        <f>32.18+162</f>
        <v>194.18</v>
      </c>
      <c r="E217" s="30"/>
      <c r="F217" s="31"/>
      <c r="G217" s="32" t="s">
        <v>55</v>
      </c>
      <c r="H217" s="69"/>
      <c r="I217" s="33"/>
      <c r="J217" s="69"/>
      <c r="K217" s="33"/>
      <c r="L217" s="33"/>
      <c r="M217" s="34"/>
      <c r="N217" s="99"/>
    </row>
    <row r="218" spans="1:14" ht="16.5" thickBot="1" x14ac:dyDescent="0.3">
      <c r="A218" s="35" t="str">
        <f>IF(F218&lt;&gt;"",1+MAX($A$5:A217),"")</f>
        <v/>
      </c>
      <c r="B218" s="27"/>
      <c r="C218" s="81" t="s">
        <v>49</v>
      </c>
      <c r="D218" s="29">
        <v>3.5</v>
      </c>
      <c r="E218" s="30"/>
      <c r="F218" s="31"/>
      <c r="G218" s="32" t="s">
        <v>55</v>
      </c>
      <c r="H218" s="69"/>
      <c r="I218" s="33"/>
      <c r="J218" s="69"/>
      <c r="K218" s="33"/>
      <c r="L218" s="33"/>
      <c r="M218" s="34"/>
      <c r="N218" s="99"/>
    </row>
    <row r="219" spans="1:14" ht="16.5" thickBot="1" x14ac:dyDescent="0.3">
      <c r="A219" s="35">
        <f>IF(F219&lt;&gt;"",1+MAX($A$5:A218),"")</f>
        <v>160</v>
      </c>
      <c r="B219" s="27"/>
      <c r="C219" s="28" t="s">
        <v>99</v>
      </c>
      <c r="D219" s="29">
        <f>ROUNDUP(1+D217/1.34,0)</f>
        <v>146</v>
      </c>
      <c r="E219" s="30">
        <v>0.05</v>
      </c>
      <c r="F219" s="31">
        <f>D219*(1+E219)</f>
        <v>153.30000000000001</v>
      </c>
      <c r="G219" s="32" t="s">
        <v>45</v>
      </c>
      <c r="H219" s="69">
        <f>3.55*4</f>
        <v>14.2</v>
      </c>
      <c r="I219" s="33">
        <f>H219*F219</f>
        <v>2176.86</v>
      </c>
      <c r="J219" s="69">
        <f>4.13*4</f>
        <v>16.52</v>
      </c>
      <c r="K219" s="33">
        <f>F219*J219</f>
        <v>2532.5160000000001</v>
      </c>
      <c r="L219" s="33">
        <f>K219+I219</f>
        <v>4709.3760000000002</v>
      </c>
      <c r="M219" s="34"/>
      <c r="N219" s="99"/>
    </row>
    <row r="220" spans="1:14" ht="16.5" thickBot="1" x14ac:dyDescent="0.3">
      <c r="A220" s="35">
        <f>IF(F220&lt;&gt;"",1+MAX($A$5:A219),"")</f>
        <v>161</v>
      </c>
      <c r="B220" s="27"/>
      <c r="C220" s="28" t="s">
        <v>85</v>
      </c>
      <c r="D220" s="29">
        <f>ROUNDUP(D217*3/10,0)</f>
        <v>59</v>
      </c>
      <c r="E220" s="30">
        <v>0.05</v>
      </c>
      <c r="F220" s="31">
        <f>D220*(1+E220)</f>
        <v>61.95</v>
      </c>
      <c r="G220" s="32" t="s">
        <v>45</v>
      </c>
      <c r="H220" s="69">
        <v>27.3</v>
      </c>
      <c r="I220" s="33">
        <f>H220*F220</f>
        <v>1691.2350000000001</v>
      </c>
      <c r="J220" s="69">
        <v>39.1</v>
      </c>
      <c r="K220" s="33">
        <f>F220*J220</f>
        <v>2422.2450000000003</v>
      </c>
      <c r="L220" s="33">
        <f>K220+I220</f>
        <v>4113.4800000000005</v>
      </c>
      <c r="M220" s="34"/>
      <c r="N220" s="99"/>
    </row>
    <row r="221" spans="1:14" ht="16.5" thickBot="1" x14ac:dyDescent="0.3">
      <c r="A221" s="35">
        <f>IF(F221&lt;&gt;"",1+MAX($A$5:A220),"")</f>
        <v>162</v>
      </c>
      <c r="B221" s="27"/>
      <c r="C221" s="28" t="s">
        <v>100</v>
      </c>
      <c r="D221" s="29">
        <f>(1+162/1.34)</f>
        <v>121.89552238805969</v>
      </c>
      <c r="E221" s="30">
        <v>0.05</v>
      </c>
      <c r="F221" s="31">
        <f>D221*(1+E221)</f>
        <v>127.99029850746268</v>
      </c>
      <c r="G221" s="32" t="s">
        <v>45</v>
      </c>
      <c r="H221" s="69">
        <f>2.14*4.5</f>
        <v>9.6300000000000008</v>
      </c>
      <c r="I221" s="33">
        <f>H221*F221</f>
        <v>1232.5465746268658</v>
      </c>
      <c r="J221" s="69">
        <f>3.2*4.5</f>
        <v>14.4</v>
      </c>
      <c r="K221" s="33">
        <f>F221*J221</f>
        <v>1843.0602985074627</v>
      </c>
      <c r="L221" s="33">
        <f>K221+I221</f>
        <v>3075.6068731343285</v>
      </c>
      <c r="M221" s="34"/>
      <c r="N221" s="99"/>
    </row>
    <row r="222" spans="1:14" ht="16.5" thickBot="1" x14ac:dyDescent="0.3">
      <c r="A222" s="35">
        <f>IF(F222&lt;&gt;"",1+MAX($A$5:A221),"")</f>
        <v>163</v>
      </c>
      <c r="B222" s="27"/>
      <c r="C222" s="28" t="s">
        <v>97</v>
      </c>
      <c r="D222" s="29">
        <f>D217</f>
        <v>194.18</v>
      </c>
      <c r="E222" s="30">
        <v>0.05</v>
      </c>
      <c r="F222" s="31">
        <f>D222*(1+E222)</f>
        <v>203.88900000000001</v>
      </c>
      <c r="G222" s="32" t="s">
        <v>55</v>
      </c>
      <c r="H222" s="69">
        <v>2.1</v>
      </c>
      <c r="I222" s="33">
        <f>H222*F222</f>
        <v>428.16690000000006</v>
      </c>
      <c r="J222" s="69">
        <v>2.6</v>
      </c>
      <c r="K222" s="33">
        <f>F222*J222</f>
        <v>530.1114</v>
      </c>
      <c r="L222" s="33">
        <f>K222+I222</f>
        <v>958.27830000000006</v>
      </c>
      <c r="M222" s="34"/>
      <c r="N222" s="99"/>
    </row>
    <row r="223" spans="1:14" ht="16.5" thickBot="1" x14ac:dyDescent="0.3">
      <c r="A223" s="35">
        <f>IF(F223&lt;&gt;"",1+MAX($A$5:A222),"")</f>
        <v>164</v>
      </c>
      <c r="B223" s="27"/>
      <c r="C223" s="28" t="s">
        <v>98</v>
      </c>
      <c r="D223" s="29">
        <f>D217*D218*2</f>
        <v>1359.26</v>
      </c>
      <c r="E223" s="30">
        <v>0.05</v>
      </c>
      <c r="F223" s="31">
        <f>D223*(1+E223)</f>
        <v>1427.223</v>
      </c>
      <c r="G223" s="32" t="s">
        <v>54</v>
      </c>
      <c r="H223" s="69">
        <v>0.85</v>
      </c>
      <c r="I223" s="33">
        <f t="shared" ref="I223:I226" si="52">H223*F223</f>
        <v>1213.1395499999999</v>
      </c>
      <c r="J223" s="69">
        <v>1.1000000000000001</v>
      </c>
      <c r="K223" s="33">
        <f t="shared" ref="K223:K226" si="53">F223*J223</f>
        <v>1569.9453000000001</v>
      </c>
      <c r="L223" s="33">
        <f t="shared" ref="L223:L226" si="54">K223+I223</f>
        <v>2783.0848500000002</v>
      </c>
      <c r="M223" s="34"/>
      <c r="N223" s="99"/>
    </row>
    <row r="224" spans="1:14" ht="16.5" thickBot="1" x14ac:dyDescent="0.3">
      <c r="A224" s="35">
        <f>IF(F224&lt;&gt;"",1+MAX($A$5:A223),"")</f>
        <v>165</v>
      </c>
      <c r="B224" s="27"/>
      <c r="C224" s="28" t="s">
        <v>102</v>
      </c>
      <c r="D224" s="29">
        <f>(D217*D218)+(4.5*122*0.67)</f>
        <v>1047.46</v>
      </c>
      <c r="E224" s="30">
        <v>0.05</v>
      </c>
      <c r="F224" s="31">
        <f>D224*(1+E224)</f>
        <v>1099.8330000000001</v>
      </c>
      <c r="G224" s="32" t="s">
        <v>54</v>
      </c>
      <c r="H224" s="69">
        <v>1.8</v>
      </c>
      <c r="I224" s="33">
        <f t="shared" si="52"/>
        <v>1979.6994000000002</v>
      </c>
      <c r="J224" s="69">
        <v>2.1</v>
      </c>
      <c r="K224" s="33">
        <f t="shared" si="53"/>
        <v>2309.6493000000005</v>
      </c>
      <c r="L224" s="33">
        <f t="shared" si="54"/>
        <v>4289.3487000000005</v>
      </c>
      <c r="M224" s="34"/>
      <c r="N224" s="99"/>
    </row>
    <row r="225" spans="1:14" ht="16.5" thickBot="1" x14ac:dyDescent="0.3">
      <c r="A225" s="35">
        <f>IF(F225&lt;&gt;"",1+MAX($A$5:A224),"")</f>
        <v>166</v>
      </c>
      <c r="B225" s="27"/>
      <c r="C225" s="28" t="s">
        <v>101</v>
      </c>
      <c r="D225" s="29">
        <f>D217*D218</f>
        <v>679.63</v>
      </c>
      <c r="E225" s="30">
        <v>0.05</v>
      </c>
      <c r="F225" s="31">
        <f>D225*(1+E225)</f>
        <v>713.61149999999998</v>
      </c>
      <c r="G225" s="32" t="s">
        <v>54</v>
      </c>
      <c r="H225" s="69">
        <v>2.1</v>
      </c>
      <c r="I225" s="33">
        <f t="shared" si="52"/>
        <v>1498.5841499999999</v>
      </c>
      <c r="J225" s="69">
        <v>1.9</v>
      </c>
      <c r="K225" s="33">
        <f t="shared" si="53"/>
        <v>1355.86185</v>
      </c>
      <c r="L225" s="33">
        <f t="shared" si="54"/>
        <v>2854.4459999999999</v>
      </c>
      <c r="M225" s="34"/>
      <c r="N225" s="99"/>
    </row>
    <row r="226" spans="1:14" ht="16.5" thickBot="1" x14ac:dyDescent="0.3">
      <c r="A226" s="35">
        <f>IF(F226&lt;&gt;"",1+MAX($A$5:A225),"")</f>
        <v>167</v>
      </c>
      <c r="B226" s="27"/>
      <c r="C226" s="28" t="s">
        <v>89</v>
      </c>
      <c r="D226" s="29">
        <f>D217*D218</f>
        <v>679.63</v>
      </c>
      <c r="E226" s="30">
        <v>0.05</v>
      </c>
      <c r="F226" s="31">
        <f>D226*(1+E226)</f>
        <v>713.61149999999998</v>
      </c>
      <c r="G226" s="32" t="s">
        <v>54</v>
      </c>
      <c r="H226" s="69">
        <v>0.4</v>
      </c>
      <c r="I226" s="33">
        <f t="shared" si="52"/>
        <v>285.44459999999998</v>
      </c>
      <c r="J226" s="69">
        <v>0.3</v>
      </c>
      <c r="K226" s="33">
        <f t="shared" si="53"/>
        <v>214.08345</v>
      </c>
      <c r="L226" s="33">
        <f t="shared" si="54"/>
        <v>499.52805000000001</v>
      </c>
      <c r="M226" s="34"/>
      <c r="N226" s="99"/>
    </row>
    <row r="227" spans="1:14" ht="16.5" thickBot="1" x14ac:dyDescent="0.3">
      <c r="A227" s="35" t="str">
        <f>IF(F227&lt;&gt;"",1+MAX($A$5:A226),"")</f>
        <v/>
      </c>
      <c r="B227" s="27"/>
      <c r="C227" s="28"/>
      <c r="D227" s="29"/>
      <c r="E227" s="30"/>
      <c r="F227" s="31"/>
      <c r="G227" s="32"/>
      <c r="H227" s="69"/>
      <c r="I227" s="33"/>
      <c r="J227" s="69"/>
      <c r="K227" s="33"/>
      <c r="L227" s="33"/>
      <c r="M227" s="34"/>
      <c r="N227" s="99"/>
    </row>
    <row r="228" spans="1:14" ht="16.5" thickBot="1" x14ac:dyDescent="0.3">
      <c r="A228" s="35" t="str">
        <f>IF(F228&lt;&gt;"",1+MAX($A$5:A227),"")</f>
        <v/>
      </c>
      <c r="B228" s="27"/>
      <c r="C228" s="81" t="s">
        <v>96</v>
      </c>
      <c r="D228" s="29">
        <v>88</v>
      </c>
      <c r="E228" s="30"/>
      <c r="F228" s="31"/>
      <c r="G228" s="32" t="s">
        <v>55</v>
      </c>
      <c r="H228" s="69"/>
      <c r="I228" s="33"/>
      <c r="J228" s="69"/>
      <c r="K228" s="33"/>
      <c r="L228" s="33"/>
      <c r="M228" s="34"/>
      <c r="N228" s="99"/>
    </row>
    <row r="229" spans="1:14" ht="16.5" thickBot="1" x14ac:dyDescent="0.3">
      <c r="A229" s="35" t="str">
        <f>IF(F229&lt;&gt;"",1+MAX($A$5:A228),"")</f>
        <v/>
      </c>
      <c r="B229" s="27"/>
      <c r="C229" s="81" t="s">
        <v>49</v>
      </c>
      <c r="D229" s="29">
        <v>4</v>
      </c>
      <c r="E229" s="30"/>
      <c r="F229" s="31"/>
      <c r="G229" s="32" t="s">
        <v>55</v>
      </c>
      <c r="H229" s="69"/>
      <c r="I229" s="33"/>
      <c r="J229" s="69"/>
      <c r="K229" s="33"/>
      <c r="L229" s="33"/>
      <c r="M229" s="34"/>
      <c r="N229" s="99"/>
    </row>
    <row r="230" spans="1:14" ht="16.5" thickBot="1" x14ac:dyDescent="0.3">
      <c r="A230" s="35">
        <f>IF(F230&lt;&gt;"",1+MAX($A$5:A229),"")</f>
        <v>168</v>
      </c>
      <c r="B230" s="27"/>
      <c r="C230" s="28" t="s">
        <v>99</v>
      </c>
      <c r="D230" s="29">
        <f>ROUNDUP(1+D228/1.34,0)</f>
        <v>67</v>
      </c>
      <c r="E230" s="30">
        <v>0.05</v>
      </c>
      <c r="F230" s="31">
        <f>D230*(1+E230)</f>
        <v>70.350000000000009</v>
      </c>
      <c r="G230" s="32" t="s">
        <v>45</v>
      </c>
      <c r="H230" s="69">
        <v>14.2</v>
      </c>
      <c r="I230" s="33">
        <f>H230*F230</f>
        <v>998.97</v>
      </c>
      <c r="J230" s="69">
        <v>16.52</v>
      </c>
      <c r="K230" s="33">
        <f>F230*J230</f>
        <v>1162.182</v>
      </c>
      <c r="L230" s="33">
        <f>K230+I230</f>
        <v>2161.152</v>
      </c>
      <c r="M230" s="34"/>
      <c r="N230" s="99"/>
    </row>
    <row r="231" spans="1:14" ht="16.5" thickBot="1" x14ac:dyDescent="0.3">
      <c r="A231" s="35">
        <f>IF(F231&lt;&gt;"",1+MAX($A$5:A230),"")</f>
        <v>169</v>
      </c>
      <c r="B231" s="27"/>
      <c r="C231" s="28" t="s">
        <v>85</v>
      </c>
      <c r="D231" s="29">
        <f>ROUNDUP(D228*3/10,0)</f>
        <v>27</v>
      </c>
      <c r="E231" s="30">
        <v>0.05</v>
      </c>
      <c r="F231" s="31">
        <f>D231*(1+E231)</f>
        <v>28.35</v>
      </c>
      <c r="G231" s="32" t="s">
        <v>45</v>
      </c>
      <c r="H231" s="69">
        <v>27.3</v>
      </c>
      <c r="I231" s="33">
        <f>H231*F231</f>
        <v>773.95500000000004</v>
      </c>
      <c r="J231" s="69">
        <v>39.1</v>
      </c>
      <c r="K231" s="33">
        <f>F231*J231</f>
        <v>1108.4850000000001</v>
      </c>
      <c r="L231" s="33">
        <f>K231+I231</f>
        <v>1882.44</v>
      </c>
      <c r="M231" s="34"/>
      <c r="N231" s="99"/>
    </row>
    <row r="232" spans="1:14" ht="16.5" thickBot="1" x14ac:dyDescent="0.3">
      <c r="A232" s="35">
        <f>IF(F232&lt;&gt;"",1+MAX($A$5:A231),"")</f>
        <v>170</v>
      </c>
      <c r="B232" s="27"/>
      <c r="C232" s="28" t="s">
        <v>103</v>
      </c>
      <c r="D232" s="29">
        <f>(1+88/1.34)</f>
        <v>66.671641791044777</v>
      </c>
      <c r="E232" s="30">
        <v>0.05</v>
      </c>
      <c r="F232" s="31">
        <f>D232*(1+E232)</f>
        <v>70.005223880597015</v>
      </c>
      <c r="G232" s="32" t="s">
        <v>45</v>
      </c>
      <c r="H232" s="69">
        <f>2.14*4</f>
        <v>8.56</v>
      </c>
      <c r="I232" s="33">
        <f>H232*F232</f>
        <v>599.24471641791047</v>
      </c>
      <c r="J232" s="69">
        <f>3.2*4</f>
        <v>12.8</v>
      </c>
      <c r="K232" s="33">
        <f>F232*J232</f>
        <v>896.06686567164184</v>
      </c>
      <c r="L232" s="33">
        <f>K232+I232</f>
        <v>1495.3115820895523</v>
      </c>
      <c r="M232" s="34"/>
      <c r="N232" s="99"/>
    </row>
    <row r="233" spans="1:14" ht="16.5" thickBot="1" x14ac:dyDescent="0.3">
      <c r="A233" s="35">
        <f>IF(F233&lt;&gt;"",1+MAX($A$5:A232),"")</f>
        <v>171</v>
      </c>
      <c r="B233" s="27"/>
      <c r="C233" s="28" t="s">
        <v>97</v>
      </c>
      <c r="D233" s="29">
        <f>D228</f>
        <v>88</v>
      </c>
      <c r="E233" s="30">
        <v>0.05</v>
      </c>
      <c r="F233" s="31">
        <f>D233*(1+E233)</f>
        <v>92.4</v>
      </c>
      <c r="G233" s="32" t="s">
        <v>55</v>
      </c>
      <c r="H233" s="69">
        <v>2.1</v>
      </c>
      <c r="I233" s="33">
        <f>H233*F233</f>
        <v>194.04000000000002</v>
      </c>
      <c r="J233" s="69">
        <v>2.6</v>
      </c>
      <c r="K233" s="33">
        <f>F233*J233</f>
        <v>240.24</v>
      </c>
      <c r="L233" s="33">
        <f>K233+I233</f>
        <v>434.28000000000003</v>
      </c>
      <c r="M233" s="34"/>
      <c r="N233" s="99"/>
    </row>
    <row r="234" spans="1:14" ht="16.5" thickBot="1" x14ac:dyDescent="0.3">
      <c r="A234" s="35">
        <f>IF(F234&lt;&gt;"",1+MAX($A$5:A233),"")</f>
        <v>172</v>
      </c>
      <c r="B234" s="27"/>
      <c r="C234" s="28" t="s">
        <v>98</v>
      </c>
      <c r="D234" s="29">
        <f>D228*D229*2</f>
        <v>704</v>
      </c>
      <c r="E234" s="30">
        <v>0.05</v>
      </c>
      <c r="F234" s="31">
        <f>D234*(1+E234)</f>
        <v>739.2</v>
      </c>
      <c r="G234" s="32" t="s">
        <v>54</v>
      </c>
      <c r="H234" s="69">
        <v>0.85</v>
      </c>
      <c r="I234" s="33">
        <f t="shared" ref="I234:I237" si="55">H234*F234</f>
        <v>628.32000000000005</v>
      </c>
      <c r="J234" s="69">
        <v>1.1000000000000001</v>
      </c>
      <c r="K234" s="33">
        <f t="shared" ref="K234:K237" si="56">F234*J234</f>
        <v>813.12000000000012</v>
      </c>
      <c r="L234" s="33">
        <f t="shared" ref="L234:L237" si="57">K234+I234</f>
        <v>1441.44</v>
      </c>
      <c r="M234" s="34"/>
      <c r="N234" s="99"/>
    </row>
    <row r="235" spans="1:14" ht="16.5" thickBot="1" x14ac:dyDescent="0.3">
      <c r="A235" s="35">
        <f>IF(F235&lt;&gt;"",1+MAX($A$5:A234),"")</f>
        <v>173</v>
      </c>
      <c r="B235" s="27"/>
      <c r="C235" s="28" t="s">
        <v>102</v>
      </c>
      <c r="D235" s="29">
        <f>(D228*D229)+(4*88*0.67)</f>
        <v>587.84</v>
      </c>
      <c r="E235" s="30">
        <v>0.05</v>
      </c>
      <c r="F235" s="31">
        <f>D235*(1+E235)</f>
        <v>617.23200000000008</v>
      </c>
      <c r="G235" s="32" t="s">
        <v>54</v>
      </c>
      <c r="H235" s="69">
        <v>1.8</v>
      </c>
      <c r="I235" s="33">
        <f t="shared" si="55"/>
        <v>1111.0176000000001</v>
      </c>
      <c r="J235" s="69">
        <v>2.1</v>
      </c>
      <c r="K235" s="33">
        <f t="shared" si="56"/>
        <v>1296.1872000000003</v>
      </c>
      <c r="L235" s="33">
        <f t="shared" si="57"/>
        <v>2407.2048000000004</v>
      </c>
      <c r="M235" s="34"/>
      <c r="N235" s="99"/>
    </row>
    <row r="236" spans="1:14" ht="16.5" thickBot="1" x14ac:dyDescent="0.3">
      <c r="A236" s="35">
        <f>IF(F236&lt;&gt;"",1+MAX($A$5:A235),"")</f>
        <v>174</v>
      </c>
      <c r="B236" s="27"/>
      <c r="C236" s="28" t="s">
        <v>101</v>
      </c>
      <c r="D236" s="29">
        <f>D228*D229</f>
        <v>352</v>
      </c>
      <c r="E236" s="30">
        <v>0.05</v>
      </c>
      <c r="F236" s="31">
        <f>D236*(1+E236)</f>
        <v>369.6</v>
      </c>
      <c r="G236" s="32" t="s">
        <v>54</v>
      </c>
      <c r="H236" s="69">
        <v>2.1</v>
      </c>
      <c r="I236" s="33">
        <f t="shared" si="55"/>
        <v>776.16000000000008</v>
      </c>
      <c r="J236" s="69">
        <v>1.9</v>
      </c>
      <c r="K236" s="33">
        <f t="shared" si="56"/>
        <v>702.24</v>
      </c>
      <c r="L236" s="33">
        <f t="shared" si="57"/>
        <v>1478.4</v>
      </c>
      <c r="M236" s="34"/>
      <c r="N236" s="99"/>
    </row>
    <row r="237" spans="1:14" ht="16.5" thickBot="1" x14ac:dyDescent="0.3">
      <c r="A237" s="35">
        <f>IF(F237&lt;&gt;"",1+MAX($A$5:A236),"")</f>
        <v>175</v>
      </c>
      <c r="B237" s="27"/>
      <c r="C237" s="28" t="s">
        <v>89</v>
      </c>
      <c r="D237" s="29">
        <f>D228*D229</f>
        <v>352</v>
      </c>
      <c r="E237" s="30">
        <v>0.05</v>
      </c>
      <c r="F237" s="31">
        <f>D237*(1+E237)</f>
        <v>369.6</v>
      </c>
      <c r="G237" s="32" t="s">
        <v>54</v>
      </c>
      <c r="H237" s="69">
        <v>0.4</v>
      </c>
      <c r="I237" s="33">
        <f t="shared" si="55"/>
        <v>147.84</v>
      </c>
      <c r="J237" s="69">
        <v>0.3</v>
      </c>
      <c r="K237" s="33">
        <f t="shared" si="56"/>
        <v>110.88000000000001</v>
      </c>
      <c r="L237" s="33">
        <f t="shared" si="57"/>
        <v>258.72000000000003</v>
      </c>
      <c r="M237" s="34"/>
      <c r="N237" s="99"/>
    </row>
    <row r="238" spans="1:14" ht="16.5" thickBot="1" x14ac:dyDescent="0.3">
      <c r="A238" s="35" t="str">
        <f>IF(F238&lt;&gt;"",1+MAX($A$5:A237),"")</f>
        <v/>
      </c>
      <c r="B238" s="27"/>
      <c r="C238" s="28"/>
      <c r="D238" s="29"/>
      <c r="E238" s="30"/>
      <c r="F238" s="31"/>
      <c r="G238" s="32"/>
      <c r="H238" s="69"/>
      <c r="I238" s="33"/>
      <c r="J238" s="69"/>
      <c r="K238" s="33"/>
      <c r="L238" s="33"/>
      <c r="M238" s="34"/>
      <c r="N238" s="99"/>
    </row>
    <row r="239" spans="1:14" ht="16.5" thickBot="1" x14ac:dyDescent="0.3">
      <c r="A239" s="35" t="str">
        <f>IF(F239&lt;&gt;"",1+MAX($A$5:A238),"")</f>
        <v/>
      </c>
      <c r="B239" s="27"/>
      <c r="C239" s="81" t="s">
        <v>96</v>
      </c>
      <c r="D239" s="29">
        <f>201+159</f>
        <v>360</v>
      </c>
      <c r="E239" s="30"/>
      <c r="F239" s="31"/>
      <c r="G239" s="32" t="s">
        <v>55</v>
      </c>
      <c r="H239" s="69"/>
      <c r="I239" s="33"/>
      <c r="J239" s="69"/>
      <c r="K239" s="33"/>
      <c r="L239" s="33"/>
      <c r="M239" s="34"/>
      <c r="N239" s="99"/>
    </row>
    <row r="240" spans="1:14" ht="16.5" thickBot="1" x14ac:dyDescent="0.3">
      <c r="A240" s="35" t="str">
        <f>IF(F240&lt;&gt;"",1+MAX($A$5:A239),"")</f>
        <v/>
      </c>
      <c r="B240" s="27"/>
      <c r="C240" s="81" t="s">
        <v>49</v>
      </c>
      <c r="D240" s="29">
        <v>5.67</v>
      </c>
      <c r="E240" s="30"/>
      <c r="F240" s="31"/>
      <c r="G240" s="32" t="s">
        <v>55</v>
      </c>
      <c r="H240" s="69"/>
      <c r="I240" s="33"/>
      <c r="J240" s="69"/>
      <c r="K240" s="33"/>
      <c r="L240" s="33"/>
      <c r="M240" s="34"/>
      <c r="N240" s="99"/>
    </row>
    <row r="241" spans="1:14" ht="16.5" thickBot="1" x14ac:dyDescent="0.3">
      <c r="A241" s="35">
        <f>IF(F241&lt;&gt;"",1+MAX($A$5:A240),"")</f>
        <v>176</v>
      </c>
      <c r="B241" s="27"/>
      <c r="C241" s="28" t="s">
        <v>104</v>
      </c>
      <c r="D241" s="29">
        <f>ROUNDUP(1+D239/1.34,0)</f>
        <v>270</v>
      </c>
      <c r="E241" s="30">
        <v>0.05</v>
      </c>
      <c r="F241" s="31">
        <f>D241*(1+E241)</f>
        <v>283.5</v>
      </c>
      <c r="G241" s="32" t="s">
        <v>45</v>
      </c>
      <c r="H241" s="69">
        <f>1.5*14.2</f>
        <v>21.299999999999997</v>
      </c>
      <c r="I241" s="33">
        <f>H241*F241</f>
        <v>6038.5499999999993</v>
      </c>
      <c r="J241" s="69">
        <f>16.52*1.5</f>
        <v>24.78</v>
      </c>
      <c r="K241" s="33">
        <f>F241*J241</f>
        <v>7025.13</v>
      </c>
      <c r="L241" s="33">
        <f>K241+I241</f>
        <v>13063.68</v>
      </c>
      <c r="M241" s="34"/>
      <c r="N241" s="99"/>
    </row>
    <row r="242" spans="1:14" ht="16.5" thickBot="1" x14ac:dyDescent="0.3">
      <c r="A242" s="35">
        <f>IF(F242&lt;&gt;"",1+MAX($A$5:A241),"")</f>
        <v>177</v>
      </c>
      <c r="B242" s="27"/>
      <c r="C242" s="28" t="s">
        <v>85</v>
      </c>
      <c r="D242" s="29">
        <f>ROUNDUP(D239*3/10,0)</f>
        <v>108</v>
      </c>
      <c r="E242" s="30">
        <v>0.05</v>
      </c>
      <c r="F242" s="31">
        <f>D242*(1+E242)</f>
        <v>113.4</v>
      </c>
      <c r="G242" s="32" t="s">
        <v>45</v>
      </c>
      <c r="H242" s="69">
        <v>27.3</v>
      </c>
      <c r="I242" s="33">
        <f>H242*F242</f>
        <v>3095.82</v>
      </c>
      <c r="J242" s="69">
        <v>39.1</v>
      </c>
      <c r="K242" s="33">
        <f>F242*J242</f>
        <v>4433.9400000000005</v>
      </c>
      <c r="L242" s="33">
        <f>K242+I242</f>
        <v>7529.76</v>
      </c>
      <c r="M242" s="34"/>
      <c r="N242" s="99"/>
    </row>
    <row r="243" spans="1:14" ht="16.5" thickBot="1" x14ac:dyDescent="0.3">
      <c r="A243" s="35">
        <f>IF(F243&lt;&gt;"",1+MAX($A$5:A242),"")</f>
        <v>178</v>
      </c>
      <c r="B243" s="27"/>
      <c r="C243" s="28" t="s">
        <v>105</v>
      </c>
      <c r="D243" s="29">
        <f>(1+159/1.34)</f>
        <v>119.65671641791045</v>
      </c>
      <c r="E243" s="30">
        <v>0.05</v>
      </c>
      <c r="F243" s="31">
        <f>D243*(1+E243)</f>
        <v>125.63955223880598</v>
      </c>
      <c r="G243" s="32" t="s">
        <v>45</v>
      </c>
      <c r="H243" s="69">
        <f>8.56*2</f>
        <v>17.12</v>
      </c>
      <c r="I243" s="33">
        <f>H243*F243</f>
        <v>2150.9491343283585</v>
      </c>
      <c r="J243" s="69">
        <f>12.8*2</f>
        <v>25.6</v>
      </c>
      <c r="K243" s="33">
        <f>F243*J243</f>
        <v>3216.372537313433</v>
      </c>
      <c r="L243" s="33">
        <f>K243+I243</f>
        <v>5367.3216716417919</v>
      </c>
      <c r="M243" s="34"/>
      <c r="N243" s="99"/>
    </row>
    <row r="244" spans="1:14" ht="16.5" thickBot="1" x14ac:dyDescent="0.3">
      <c r="A244" s="35">
        <f>IF(F244&lt;&gt;"",1+MAX($A$5:A243),"")</f>
        <v>179</v>
      </c>
      <c r="B244" s="27"/>
      <c r="C244" s="28" t="s">
        <v>97</v>
      </c>
      <c r="D244" s="29">
        <f>D239</f>
        <v>360</v>
      </c>
      <c r="E244" s="30">
        <v>0.05</v>
      </c>
      <c r="F244" s="31">
        <f>D244*(1+E244)</f>
        <v>378</v>
      </c>
      <c r="G244" s="32" t="s">
        <v>55</v>
      </c>
      <c r="H244" s="69">
        <v>2.1</v>
      </c>
      <c r="I244" s="33">
        <f>H244*F244</f>
        <v>793.80000000000007</v>
      </c>
      <c r="J244" s="69">
        <v>2.6</v>
      </c>
      <c r="K244" s="33">
        <f>F244*J244</f>
        <v>982.80000000000007</v>
      </c>
      <c r="L244" s="33">
        <f>K244+I244</f>
        <v>1776.6000000000001</v>
      </c>
      <c r="M244" s="34"/>
      <c r="N244" s="99"/>
    </row>
    <row r="245" spans="1:14" ht="16.5" thickBot="1" x14ac:dyDescent="0.3">
      <c r="A245" s="35">
        <f>IF(F245&lt;&gt;"",1+MAX($A$5:A244),"")</f>
        <v>180</v>
      </c>
      <c r="B245" s="27"/>
      <c r="C245" s="28" t="s">
        <v>98</v>
      </c>
      <c r="D245" s="29">
        <f>D239*D240*2</f>
        <v>4082.4</v>
      </c>
      <c r="E245" s="30">
        <v>0.05</v>
      </c>
      <c r="F245" s="31">
        <f>D245*(1+E245)</f>
        <v>4286.5200000000004</v>
      </c>
      <c r="G245" s="32" t="s">
        <v>54</v>
      </c>
      <c r="H245" s="69">
        <v>0.85</v>
      </c>
      <c r="I245" s="33">
        <f t="shared" ref="I245:I248" si="58">H245*F245</f>
        <v>3643.5420000000004</v>
      </c>
      <c r="J245" s="69">
        <v>1.1000000000000001</v>
      </c>
      <c r="K245" s="33">
        <f t="shared" ref="K245:K248" si="59">F245*J245</f>
        <v>4715.1720000000005</v>
      </c>
      <c r="L245" s="33">
        <f t="shared" ref="L245:L248" si="60">K245+I245</f>
        <v>8358.7139999999999</v>
      </c>
      <c r="M245" s="34"/>
      <c r="N245" s="99"/>
    </row>
    <row r="246" spans="1:14" ht="16.5" thickBot="1" x14ac:dyDescent="0.3">
      <c r="A246" s="35">
        <f>IF(F246&lt;&gt;"",1+MAX($A$5:A245),"")</f>
        <v>181</v>
      </c>
      <c r="B246" s="27"/>
      <c r="C246" s="28" t="s">
        <v>102</v>
      </c>
      <c r="D246" s="29">
        <f>(D239*D240)+(8*159*0.67)</f>
        <v>2893.44</v>
      </c>
      <c r="E246" s="30">
        <v>0.05</v>
      </c>
      <c r="F246" s="31">
        <f>D246*(1+E246)</f>
        <v>3038.1120000000001</v>
      </c>
      <c r="G246" s="32" t="s">
        <v>54</v>
      </c>
      <c r="H246" s="69">
        <v>1.8</v>
      </c>
      <c r="I246" s="33">
        <f t="shared" si="58"/>
        <v>5468.6016</v>
      </c>
      <c r="J246" s="69">
        <v>2.1</v>
      </c>
      <c r="K246" s="33">
        <f t="shared" si="59"/>
        <v>6380.0352000000003</v>
      </c>
      <c r="L246" s="33">
        <f t="shared" si="60"/>
        <v>11848.6368</v>
      </c>
      <c r="M246" s="34"/>
      <c r="N246" s="99"/>
    </row>
    <row r="247" spans="1:14" ht="16.5" thickBot="1" x14ac:dyDescent="0.3">
      <c r="A247" s="35">
        <f>IF(F247&lt;&gt;"",1+MAX($A$5:A246),"")</f>
        <v>182</v>
      </c>
      <c r="B247" s="27"/>
      <c r="C247" s="28" t="s">
        <v>101</v>
      </c>
      <c r="D247" s="29">
        <f>D239*D240</f>
        <v>2041.2</v>
      </c>
      <c r="E247" s="30">
        <v>0.05</v>
      </c>
      <c r="F247" s="31">
        <f>D247*(1+E247)</f>
        <v>2143.2600000000002</v>
      </c>
      <c r="G247" s="32" t="s">
        <v>54</v>
      </c>
      <c r="H247" s="69">
        <v>2.1</v>
      </c>
      <c r="I247" s="33">
        <f t="shared" si="58"/>
        <v>4500.8460000000005</v>
      </c>
      <c r="J247" s="69">
        <v>1.9</v>
      </c>
      <c r="K247" s="33">
        <f t="shared" si="59"/>
        <v>4072.1940000000004</v>
      </c>
      <c r="L247" s="33">
        <f t="shared" si="60"/>
        <v>8573.0400000000009</v>
      </c>
      <c r="M247" s="34"/>
      <c r="N247" s="99"/>
    </row>
    <row r="248" spans="1:14" ht="16.5" thickBot="1" x14ac:dyDescent="0.3">
      <c r="A248" s="35">
        <f>IF(F248&lt;&gt;"",1+MAX($A$5:A247),"")</f>
        <v>183</v>
      </c>
      <c r="B248" s="27"/>
      <c r="C248" s="28" t="s">
        <v>89</v>
      </c>
      <c r="D248" s="29">
        <f>D239*D240</f>
        <v>2041.2</v>
      </c>
      <c r="E248" s="30">
        <v>0.05</v>
      </c>
      <c r="F248" s="31">
        <f>D248*(1+E248)</f>
        <v>2143.2600000000002</v>
      </c>
      <c r="G248" s="32" t="s">
        <v>54</v>
      </c>
      <c r="H248" s="69">
        <v>0.4</v>
      </c>
      <c r="I248" s="33">
        <f t="shared" si="58"/>
        <v>857.30400000000009</v>
      </c>
      <c r="J248" s="69">
        <v>0.3</v>
      </c>
      <c r="K248" s="33">
        <f t="shared" si="59"/>
        <v>642.97800000000007</v>
      </c>
      <c r="L248" s="33">
        <f t="shared" si="60"/>
        <v>1500.2820000000002</v>
      </c>
      <c r="M248" s="34"/>
      <c r="N248" s="99"/>
    </row>
    <row r="249" spans="1:14" ht="16.5" thickBot="1" x14ac:dyDescent="0.3">
      <c r="A249" s="35" t="str">
        <f>IF(F249&lt;&gt;"",1+MAX($A$5:A248),"")</f>
        <v/>
      </c>
      <c r="B249" s="27"/>
      <c r="C249" s="28"/>
      <c r="D249" s="29"/>
      <c r="E249" s="30"/>
      <c r="F249" s="31"/>
      <c r="G249" s="32"/>
      <c r="H249" s="69"/>
      <c r="I249" s="33"/>
      <c r="J249" s="69"/>
      <c r="K249" s="33"/>
      <c r="L249" s="33"/>
      <c r="M249" s="34"/>
      <c r="N249" s="99"/>
    </row>
    <row r="250" spans="1:14" ht="16.5" thickBot="1" x14ac:dyDescent="0.3">
      <c r="A250" s="35" t="str">
        <f>IF(F250&lt;&gt;"",1+MAX($A$5:A249),"")</f>
        <v/>
      </c>
      <c r="B250" s="27"/>
      <c r="C250" s="81" t="s">
        <v>96</v>
      </c>
      <c r="D250" s="29">
        <v>240</v>
      </c>
      <c r="E250" s="30"/>
      <c r="F250" s="31"/>
      <c r="G250" s="32" t="s">
        <v>55</v>
      </c>
      <c r="H250" s="69"/>
      <c r="I250" s="33"/>
      <c r="J250" s="69"/>
      <c r="K250" s="33"/>
      <c r="L250" s="33"/>
      <c r="M250" s="34"/>
      <c r="N250" s="99"/>
    </row>
    <row r="251" spans="1:14" ht="16.5" thickBot="1" x14ac:dyDescent="0.3">
      <c r="A251" s="35" t="str">
        <f>IF(F251&lt;&gt;"",1+MAX($A$5:A250),"")</f>
        <v/>
      </c>
      <c r="B251" s="27"/>
      <c r="C251" s="81" t="s">
        <v>49</v>
      </c>
      <c r="D251" s="29">
        <v>3</v>
      </c>
      <c r="E251" s="30"/>
      <c r="F251" s="31"/>
      <c r="G251" s="32" t="s">
        <v>55</v>
      </c>
      <c r="H251" s="69"/>
      <c r="I251" s="33"/>
      <c r="J251" s="69"/>
      <c r="K251" s="33"/>
      <c r="L251" s="33"/>
      <c r="M251" s="34"/>
      <c r="N251" s="99"/>
    </row>
    <row r="252" spans="1:14" ht="16.5" thickBot="1" x14ac:dyDescent="0.3">
      <c r="A252" s="35">
        <f>IF(F252&lt;&gt;"",1+MAX($A$5:A251),"")</f>
        <v>184</v>
      </c>
      <c r="B252" s="27"/>
      <c r="C252" s="28" t="s">
        <v>99</v>
      </c>
      <c r="D252" s="29">
        <f>ROUNDUP(1+D250/1.34,0)</f>
        <v>181</v>
      </c>
      <c r="E252" s="30">
        <v>0.05</v>
      </c>
      <c r="F252" s="31">
        <f>D252*(1+E252)</f>
        <v>190.05</v>
      </c>
      <c r="G252" s="32" t="s">
        <v>45</v>
      </c>
      <c r="H252" s="69">
        <v>14.2</v>
      </c>
      <c r="I252" s="33">
        <f>H252*F252</f>
        <v>2698.71</v>
      </c>
      <c r="J252" s="69">
        <v>16.52</v>
      </c>
      <c r="K252" s="33">
        <f>F252*J252</f>
        <v>3139.6260000000002</v>
      </c>
      <c r="L252" s="33">
        <f>K252+I252</f>
        <v>5838.3360000000002</v>
      </c>
      <c r="M252" s="34"/>
      <c r="N252" s="99"/>
    </row>
    <row r="253" spans="1:14" ht="16.5" thickBot="1" x14ac:dyDescent="0.3">
      <c r="A253" s="35">
        <f>IF(F253&lt;&gt;"",1+MAX($A$5:A252),"")</f>
        <v>185</v>
      </c>
      <c r="B253" s="27"/>
      <c r="C253" s="28" t="s">
        <v>85</v>
      </c>
      <c r="D253" s="29">
        <f>ROUNDUP(D250*3/10,0)</f>
        <v>72</v>
      </c>
      <c r="E253" s="30">
        <v>0.05</v>
      </c>
      <c r="F253" s="31">
        <f>D253*(1+E253)</f>
        <v>75.600000000000009</v>
      </c>
      <c r="G253" s="32" t="s">
        <v>45</v>
      </c>
      <c r="H253" s="69">
        <v>27.3</v>
      </c>
      <c r="I253" s="33">
        <f>H253*F253</f>
        <v>2063.88</v>
      </c>
      <c r="J253" s="69">
        <v>39.1</v>
      </c>
      <c r="K253" s="33">
        <f>F253*J253</f>
        <v>2955.9600000000005</v>
      </c>
      <c r="L253" s="33">
        <f>K253+I253</f>
        <v>5019.84</v>
      </c>
      <c r="M253" s="34"/>
      <c r="N253" s="99"/>
    </row>
    <row r="254" spans="1:14" ht="16.5" thickBot="1" x14ac:dyDescent="0.3">
      <c r="A254" s="35">
        <f>IF(F254&lt;&gt;"",1+MAX($A$5:A253),"")</f>
        <v>186</v>
      </c>
      <c r="B254" s="27"/>
      <c r="C254" s="28" t="s">
        <v>103</v>
      </c>
      <c r="D254" s="29">
        <f>(1+162/1.34)</f>
        <v>121.89552238805969</v>
      </c>
      <c r="E254" s="30">
        <v>0.05</v>
      </c>
      <c r="F254" s="31">
        <f>D254*(1+E254)</f>
        <v>127.99029850746268</v>
      </c>
      <c r="G254" s="32" t="s">
        <v>45</v>
      </c>
      <c r="H254" s="69">
        <f>H232</f>
        <v>8.56</v>
      </c>
      <c r="I254" s="33">
        <f>H254*F254</f>
        <v>1095.5969552238807</v>
      </c>
      <c r="J254" s="69">
        <f>J232</f>
        <v>12.8</v>
      </c>
      <c r="K254" s="33">
        <f>F254*J254</f>
        <v>1638.2758208955224</v>
      </c>
      <c r="L254" s="33">
        <f>K254+I254</f>
        <v>2733.8727761194032</v>
      </c>
      <c r="M254" s="34"/>
      <c r="N254" s="99"/>
    </row>
    <row r="255" spans="1:14" ht="16.5" thickBot="1" x14ac:dyDescent="0.3">
      <c r="A255" s="35">
        <f>IF(F255&lt;&gt;"",1+MAX($A$5:A254),"")</f>
        <v>187</v>
      </c>
      <c r="B255" s="27"/>
      <c r="C255" s="28" t="s">
        <v>97</v>
      </c>
      <c r="D255" s="29">
        <f>D250</f>
        <v>240</v>
      </c>
      <c r="E255" s="30">
        <v>0.05</v>
      </c>
      <c r="F255" s="31">
        <f>D255*(1+E255)</f>
        <v>252</v>
      </c>
      <c r="G255" s="32" t="s">
        <v>54</v>
      </c>
      <c r="H255" s="69">
        <v>2.1</v>
      </c>
      <c r="I255" s="33">
        <f>H255*F255</f>
        <v>529.20000000000005</v>
      </c>
      <c r="J255" s="69">
        <v>2.6</v>
      </c>
      <c r="K255" s="33">
        <f>F255*J255</f>
        <v>655.20000000000005</v>
      </c>
      <c r="L255" s="33">
        <f>K255+I255</f>
        <v>1184.4000000000001</v>
      </c>
      <c r="M255" s="34"/>
      <c r="N255" s="99"/>
    </row>
    <row r="256" spans="1:14" ht="16.5" thickBot="1" x14ac:dyDescent="0.3">
      <c r="A256" s="35">
        <f>IF(F256&lt;&gt;"",1+MAX($A$5:A255),"")</f>
        <v>188</v>
      </c>
      <c r="B256" s="27"/>
      <c r="C256" s="28" t="s">
        <v>98</v>
      </c>
      <c r="D256" s="29">
        <f>D250*D251*2</f>
        <v>1440</v>
      </c>
      <c r="E256" s="30">
        <v>0.05</v>
      </c>
      <c r="F256" s="31">
        <f>D256*(1+E256)</f>
        <v>1512</v>
      </c>
      <c r="G256" s="32" t="s">
        <v>54</v>
      </c>
      <c r="H256" s="69">
        <v>0.85</v>
      </c>
      <c r="I256" s="33">
        <f t="shared" ref="I256:I259" si="61">H256*F256</f>
        <v>1285.2</v>
      </c>
      <c r="J256" s="69">
        <v>1.1000000000000001</v>
      </c>
      <c r="K256" s="33">
        <f t="shared" ref="K256:K259" si="62">F256*J256</f>
        <v>1663.2</v>
      </c>
      <c r="L256" s="33">
        <f t="shared" ref="L256:L259" si="63">K256+I256</f>
        <v>2948.4</v>
      </c>
      <c r="M256" s="34"/>
      <c r="N256" s="99"/>
    </row>
    <row r="257" spans="1:14" ht="16.5" thickBot="1" x14ac:dyDescent="0.3">
      <c r="A257" s="35">
        <f>IF(F257&lt;&gt;"",1+MAX($A$5:A256),"")</f>
        <v>189</v>
      </c>
      <c r="B257" s="27"/>
      <c r="C257" s="28" t="s">
        <v>102</v>
      </c>
      <c r="D257" s="29">
        <f>(D250*D251)+(4*240*0.67)</f>
        <v>1363.2</v>
      </c>
      <c r="E257" s="30">
        <v>0.05</v>
      </c>
      <c r="F257" s="31">
        <f>D257*(1+E257)</f>
        <v>1431.3600000000001</v>
      </c>
      <c r="G257" s="32" t="s">
        <v>54</v>
      </c>
      <c r="H257" s="69">
        <v>1.8</v>
      </c>
      <c r="I257" s="33">
        <f t="shared" si="61"/>
        <v>2576.4480000000003</v>
      </c>
      <c r="J257" s="69">
        <v>2.1</v>
      </c>
      <c r="K257" s="33">
        <f t="shared" si="62"/>
        <v>3005.8560000000002</v>
      </c>
      <c r="L257" s="33">
        <f t="shared" si="63"/>
        <v>5582.3040000000001</v>
      </c>
      <c r="M257" s="34"/>
      <c r="N257" s="99"/>
    </row>
    <row r="258" spans="1:14" ht="16.5" thickBot="1" x14ac:dyDescent="0.3">
      <c r="A258" s="35">
        <f>IF(F258&lt;&gt;"",1+MAX($A$5:A257),"")</f>
        <v>190</v>
      </c>
      <c r="B258" s="27"/>
      <c r="C258" s="28" t="s">
        <v>101</v>
      </c>
      <c r="D258" s="29">
        <f>D250*D251</f>
        <v>720</v>
      </c>
      <c r="E258" s="30">
        <v>0.05</v>
      </c>
      <c r="F258" s="31">
        <f>D258*(1+E258)</f>
        <v>756</v>
      </c>
      <c r="G258" s="32" t="s">
        <v>54</v>
      </c>
      <c r="H258" s="69">
        <v>2.1</v>
      </c>
      <c r="I258" s="33">
        <f t="shared" si="61"/>
        <v>1587.6000000000001</v>
      </c>
      <c r="J258" s="69">
        <v>1.9</v>
      </c>
      <c r="K258" s="33">
        <f t="shared" si="62"/>
        <v>1436.3999999999999</v>
      </c>
      <c r="L258" s="33">
        <f t="shared" si="63"/>
        <v>3024</v>
      </c>
      <c r="M258" s="34"/>
      <c r="N258" s="99"/>
    </row>
    <row r="259" spans="1:14" ht="16.5" thickBot="1" x14ac:dyDescent="0.3">
      <c r="A259" s="35">
        <f>IF(F259&lt;&gt;"",1+MAX($A$5:A258),"")</f>
        <v>191</v>
      </c>
      <c r="B259" s="27"/>
      <c r="C259" s="28" t="s">
        <v>89</v>
      </c>
      <c r="D259" s="29">
        <f>D250*D251</f>
        <v>720</v>
      </c>
      <c r="E259" s="30">
        <v>0.05</v>
      </c>
      <c r="F259" s="31">
        <f>D259*(1+E259)</f>
        <v>756</v>
      </c>
      <c r="G259" s="32" t="s">
        <v>54</v>
      </c>
      <c r="H259" s="69">
        <v>0.4</v>
      </c>
      <c r="I259" s="33">
        <f t="shared" si="61"/>
        <v>302.40000000000003</v>
      </c>
      <c r="J259" s="69">
        <v>0.3</v>
      </c>
      <c r="K259" s="33">
        <f t="shared" si="62"/>
        <v>226.79999999999998</v>
      </c>
      <c r="L259" s="33">
        <f t="shared" si="63"/>
        <v>529.20000000000005</v>
      </c>
      <c r="M259" s="34"/>
      <c r="N259" s="99"/>
    </row>
    <row r="260" spans="1:14" ht="16.5" thickBot="1" x14ac:dyDescent="0.3">
      <c r="A260" s="35" t="str">
        <f>IF(F260&lt;&gt;"",1+MAX($A$5:A259),"")</f>
        <v/>
      </c>
      <c r="B260" s="27"/>
      <c r="C260" s="28"/>
      <c r="D260" s="29"/>
      <c r="E260" s="30"/>
      <c r="F260" s="31"/>
      <c r="G260" s="32"/>
      <c r="H260" s="69"/>
      <c r="I260" s="33"/>
      <c r="J260" s="69"/>
      <c r="K260" s="33"/>
      <c r="L260" s="33"/>
      <c r="M260" s="34"/>
      <c r="N260" s="99"/>
    </row>
    <row r="261" spans="1:14" ht="16.5" thickBot="1" x14ac:dyDescent="0.3">
      <c r="A261" s="35" t="str">
        <f>IF(F261&lt;&gt;"",1+MAX($A$5:A260),"")</f>
        <v/>
      </c>
      <c r="B261" s="27"/>
      <c r="C261" s="81" t="s">
        <v>96</v>
      </c>
      <c r="D261" s="29">
        <v>148</v>
      </c>
      <c r="E261" s="30"/>
      <c r="F261" s="31"/>
      <c r="G261" s="32" t="s">
        <v>55</v>
      </c>
      <c r="H261" s="69"/>
      <c r="I261" s="33"/>
      <c r="J261" s="69"/>
      <c r="K261" s="33"/>
      <c r="L261" s="33"/>
      <c r="M261" s="34"/>
      <c r="N261" s="99"/>
    </row>
    <row r="262" spans="1:14" ht="16.5" thickBot="1" x14ac:dyDescent="0.3">
      <c r="A262" s="35" t="str">
        <f>IF(F262&lt;&gt;"",1+MAX($A$5:A261),"")</f>
        <v/>
      </c>
      <c r="B262" s="27"/>
      <c r="C262" s="81" t="s">
        <v>49</v>
      </c>
      <c r="D262" s="29">
        <v>3.5</v>
      </c>
      <c r="E262" s="30"/>
      <c r="F262" s="31"/>
      <c r="G262" s="32" t="s">
        <v>55</v>
      </c>
      <c r="H262" s="69"/>
      <c r="I262" s="33"/>
      <c r="J262" s="69"/>
      <c r="K262" s="33"/>
      <c r="L262" s="33"/>
      <c r="M262" s="34"/>
      <c r="N262" s="99"/>
    </row>
    <row r="263" spans="1:14" ht="16.5" thickBot="1" x14ac:dyDescent="0.3">
      <c r="A263" s="35">
        <f>IF(F263&lt;&gt;"",1+MAX($A$5:A262),"")</f>
        <v>192</v>
      </c>
      <c r="B263" s="27"/>
      <c r="C263" s="28" t="s">
        <v>104</v>
      </c>
      <c r="D263" s="29">
        <f>ROUNDUP(1+D261/1.34,0)</f>
        <v>112</v>
      </c>
      <c r="E263" s="30">
        <v>0.05</v>
      </c>
      <c r="F263" s="31">
        <f>D263*(1+E263)</f>
        <v>117.60000000000001</v>
      </c>
      <c r="G263" s="32" t="s">
        <v>45</v>
      </c>
      <c r="H263" s="69">
        <f>H252*1.5</f>
        <v>21.299999999999997</v>
      </c>
      <c r="I263" s="33">
        <f>H263*F263</f>
        <v>2504.8799999999997</v>
      </c>
      <c r="J263" s="69">
        <f>J252*1.5</f>
        <v>24.78</v>
      </c>
      <c r="K263" s="33">
        <f>F263*J263</f>
        <v>2914.1280000000002</v>
      </c>
      <c r="L263" s="33">
        <f>K263+I263</f>
        <v>5419.0079999999998</v>
      </c>
      <c r="M263" s="34"/>
      <c r="N263" s="99"/>
    </row>
    <row r="264" spans="1:14" ht="16.5" thickBot="1" x14ac:dyDescent="0.3">
      <c r="A264" s="35">
        <f>IF(F264&lt;&gt;"",1+MAX($A$5:A263),"")</f>
        <v>193</v>
      </c>
      <c r="B264" s="27"/>
      <c r="C264" s="28" t="s">
        <v>85</v>
      </c>
      <c r="D264" s="29">
        <f>ROUNDUP(D261*3/10,0)</f>
        <v>45</v>
      </c>
      <c r="E264" s="30">
        <v>0.05</v>
      </c>
      <c r="F264" s="31">
        <f>D264*(1+E264)</f>
        <v>47.25</v>
      </c>
      <c r="G264" s="32" t="s">
        <v>45</v>
      </c>
      <c r="H264" s="69">
        <f>H253</f>
        <v>27.3</v>
      </c>
      <c r="I264" s="33">
        <f>H264*F264</f>
        <v>1289.925</v>
      </c>
      <c r="J264" s="69">
        <f>J253</f>
        <v>39.1</v>
      </c>
      <c r="K264" s="33">
        <f>F264*J264</f>
        <v>1847.4750000000001</v>
      </c>
      <c r="L264" s="33">
        <f>K264+I264</f>
        <v>3137.4</v>
      </c>
      <c r="M264" s="34"/>
      <c r="N264" s="99"/>
    </row>
    <row r="265" spans="1:14" ht="16.5" thickBot="1" x14ac:dyDescent="0.3">
      <c r="A265" s="35">
        <f>IF(F265&lt;&gt;"",1+MAX($A$5:A264),"")</f>
        <v>194</v>
      </c>
      <c r="B265" s="27"/>
      <c r="C265" s="28" t="s">
        <v>106</v>
      </c>
      <c r="D265" s="29">
        <f>(1+148/1.34)</f>
        <v>111.44776119402984</v>
      </c>
      <c r="E265" s="30">
        <v>0.05</v>
      </c>
      <c r="F265" s="31">
        <f>D265*(1+E265)</f>
        <v>117.02014925373133</v>
      </c>
      <c r="G265" s="32" t="s">
        <v>45</v>
      </c>
      <c r="H265" s="69">
        <f>H254*1.5</f>
        <v>12.84</v>
      </c>
      <c r="I265" s="33">
        <f>H265*F265</f>
        <v>1502.5387164179103</v>
      </c>
      <c r="J265" s="69">
        <f>J254*1.5</f>
        <v>19.200000000000003</v>
      </c>
      <c r="K265" s="33">
        <f>F265*J265</f>
        <v>2246.7868656716419</v>
      </c>
      <c r="L265" s="33">
        <f>K265+I265</f>
        <v>3749.325582089552</v>
      </c>
      <c r="M265" s="34"/>
      <c r="N265" s="99"/>
    </row>
    <row r="266" spans="1:14" ht="16.5" thickBot="1" x14ac:dyDescent="0.3">
      <c r="A266" s="35">
        <f>IF(F266&lt;&gt;"",1+MAX($A$5:A265),"")</f>
        <v>195</v>
      </c>
      <c r="B266" s="27"/>
      <c r="C266" s="28" t="s">
        <v>97</v>
      </c>
      <c r="D266" s="29">
        <f>D261</f>
        <v>148</v>
      </c>
      <c r="E266" s="30">
        <v>0.05</v>
      </c>
      <c r="F266" s="31">
        <f>D266*(1+E266)</f>
        <v>155.4</v>
      </c>
      <c r="G266" s="32" t="s">
        <v>55</v>
      </c>
      <c r="H266" s="69">
        <v>2.1</v>
      </c>
      <c r="I266" s="33">
        <f>H266*F266</f>
        <v>326.34000000000003</v>
      </c>
      <c r="J266" s="69">
        <v>2.6</v>
      </c>
      <c r="K266" s="33">
        <f>F266*J266</f>
        <v>404.04</v>
      </c>
      <c r="L266" s="33">
        <f>K266+I266</f>
        <v>730.38000000000011</v>
      </c>
      <c r="M266" s="34"/>
      <c r="N266" s="99"/>
    </row>
    <row r="267" spans="1:14" ht="16.5" thickBot="1" x14ac:dyDescent="0.3">
      <c r="A267" s="35">
        <f>IF(F267&lt;&gt;"",1+MAX($A$5:A266),"")</f>
        <v>196</v>
      </c>
      <c r="B267" s="27"/>
      <c r="C267" s="28" t="s">
        <v>98</v>
      </c>
      <c r="D267" s="29">
        <f>D261*D262*2</f>
        <v>1036</v>
      </c>
      <c r="E267" s="30">
        <v>0.05</v>
      </c>
      <c r="F267" s="31">
        <f>D267*(1+E267)</f>
        <v>1087.8</v>
      </c>
      <c r="G267" s="32" t="s">
        <v>54</v>
      </c>
      <c r="H267" s="69">
        <v>0.85</v>
      </c>
      <c r="I267" s="33">
        <f t="shared" ref="I267:I270" si="64">H267*F267</f>
        <v>924.62999999999988</v>
      </c>
      <c r="J267" s="69">
        <v>1.1000000000000001</v>
      </c>
      <c r="K267" s="33">
        <f t="shared" ref="K267:K270" si="65">F267*J267</f>
        <v>1196.5800000000002</v>
      </c>
      <c r="L267" s="33">
        <f t="shared" ref="L267:L270" si="66">K267+I267</f>
        <v>2121.21</v>
      </c>
      <c r="M267" s="34"/>
      <c r="N267" s="99"/>
    </row>
    <row r="268" spans="1:14" ht="16.5" thickBot="1" x14ac:dyDescent="0.3">
      <c r="A268" s="35">
        <f>IF(F268&lt;&gt;"",1+MAX($A$5:A267),"")</f>
        <v>197</v>
      </c>
      <c r="B268" s="27"/>
      <c r="C268" s="28" t="s">
        <v>102</v>
      </c>
      <c r="D268" s="29">
        <f>(D261*D262)+(6*148*0.67)</f>
        <v>1112.96</v>
      </c>
      <c r="E268" s="30">
        <v>0.05</v>
      </c>
      <c r="F268" s="31">
        <f>D268*(1+E268)</f>
        <v>1168.6080000000002</v>
      </c>
      <c r="G268" s="32" t="s">
        <v>54</v>
      </c>
      <c r="H268" s="69">
        <v>1.8</v>
      </c>
      <c r="I268" s="33">
        <f t="shared" si="64"/>
        <v>2103.4944000000005</v>
      </c>
      <c r="J268" s="69">
        <v>2.1</v>
      </c>
      <c r="K268" s="33">
        <f t="shared" si="65"/>
        <v>2454.0768000000003</v>
      </c>
      <c r="L268" s="33">
        <f t="shared" si="66"/>
        <v>4557.5712000000003</v>
      </c>
      <c r="M268" s="34"/>
      <c r="N268" s="99"/>
    </row>
    <row r="269" spans="1:14" ht="16.5" thickBot="1" x14ac:dyDescent="0.3">
      <c r="A269" s="35">
        <f>IF(F269&lt;&gt;"",1+MAX($A$5:A268),"")</f>
        <v>198</v>
      </c>
      <c r="B269" s="27"/>
      <c r="C269" s="28" t="s">
        <v>101</v>
      </c>
      <c r="D269" s="29">
        <f>D261*D262</f>
        <v>518</v>
      </c>
      <c r="E269" s="30">
        <v>0.05</v>
      </c>
      <c r="F269" s="31">
        <f>D269*(1+E269)</f>
        <v>543.9</v>
      </c>
      <c r="G269" s="32" t="s">
        <v>54</v>
      </c>
      <c r="H269" s="69">
        <v>2.1</v>
      </c>
      <c r="I269" s="33">
        <f t="shared" si="64"/>
        <v>1142.19</v>
      </c>
      <c r="J269" s="69">
        <v>1.9</v>
      </c>
      <c r="K269" s="33">
        <f t="shared" si="65"/>
        <v>1033.4099999999999</v>
      </c>
      <c r="L269" s="33">
        <f t="shared" si="66"/>
        <v>2175.6</v>
      </c>
      <c r="M269" s="34"/>
      <c r="N269" s="99"/>
    </row>
    <row r="270" spans="1:14" ht="16.5" thickBot="1" x14ac:dyDescent="0.3">
      <c r="A270" s="35">
        <f>IF(F270&lt;&gt;"",1+MAX($A$5:A269),"")</f>
        <v>199</v>
      </c>
      <c r="B270" s="27"/>
      <c r="C270" s="28" t="s">
        <v>89</v>
      </c>
      <c r="D270" s="29">
        <f>D261*D262</f>
        <v>518</v>
      </c>
      <c r="E270" s="30">
        <v>0.05</v>
      </c>
      <c r="F270" s="31">
        <f>D270*(1+E270)</f>
        <v>543.9</v>
      </c>
      <c r="G270" s="32" t="s">
        <v>54</v>
      </c>
      <c r="H270" s="69">
        <v>0.4</v>
      </c>
      <c r="I270" s="33">
        <f t="shared" si="64"/>
        <v>217.56</v>
      </c>
      <c r="J270" s="69">
        <v>0.3</v>
      </c>
      <c r="K270" s="33">
        <f t="shared" si="65"/>
        <v>163.16999999999999</v>
      </c>
      <c r="L270" s="33">
        <f t="shared" si="66"/>
        <v>380.73</v>
      </c>
      <c r="M270" s="34"/>
      <c r="N270" s="99"/>
    </row>
    <row r="271" spans="1:14" ht="16.5" thickBot="1" x14ac:dyDescent="0.3">
      <c r="A271" s="35" t="str">
        <f>IF(F271&lt;&gt;"",1+MAX($A$5:A270),"")</f>
        <v/>
      </c>
      <c r="B271" s="27"/>
      <c r="C271" s="28"/>
      <c r="D271" s="29"/>
      <c r="E271" s="30"/>
      <c r="F271" s="31"/>
      <c r="G271" s="32"/>
      <c r="H271" s="69"/>
      <c r="I271" s="33"/>
      <c r="J271" s="69"/>
      <c r="K271" s="33"/>
      <c r="L271" s="33"/>
      <c r="M271" s="34"/>
      <c r="N271" s="99"/>
    </row>
    <row r="272" spans="1:14" ht="16.5" thickBot="1" x14ac:dyDescent="0.3">
      <c r="A272" s="35" t="str">
        <f>IF(F272&lt;&gt;"",1+MAX($A$5:A271),"")</f>
        <v/>
      </c>
      <c r="B272" s="93" t="s">
        <v>75</v>
      </c>
      <c r="C272" s="94" t="s">
        <v>75</v>
      </c>
      <c r="D272" s="29"/>
      <c r="E272" s="30"/>
      <c r="F272" s="31"/>
      <c r="G272" s="32"/>
      <c r="H272" s="69"/>
      <c r="I272" s="33"/>
      <c r="J272" s="69"/>
      <c r="K272" s="33"/>
      <c r="L272" s="33"/>
      <c r="M272" s="34"/>
      <c r="N272" s="99"/>
    </row>
    <row r="273" spans="1:15" ht="16.5" thickBot="1" x14ac:dyDescent="0.3">
      <c r="A273" s="35" t="str">
        <f>IF(F273&lt;&gt;"",1+MAX($A$5:A272),"")</f>
        <v/>
      </c>
      <c r="B273" s="27"/>
      <c r="C273" s="28"/>
      <c r="D273" s="29"/>
      <c r="E273" s="30"/>
      <c r="F273" s="31"/>
      <c r="G273" s="32"/>
      <c r="H273" s="69"/>
      <c r="I273" s="33"/>
      <c r="J273" s="69"/>
      <c r="K273" s="33"/>
      <c r="L273" s="33"/>
      <c r="M273" s="34"/>
      <c r="N273" s="99"/>
    </row>
    <row r="274" spans="1:15" ht="16.5" thickBot="1" x14ac:dyDescent="0.3">
      <c r="A274" s="35" t="str">
        <f>IF(F274&lt;&gt;"",1+MAX($A$5:A273),"")</f>
        <v/>
      </c>
      <c r="B274" s="27"/>
      <c r="C274" s="81" t="s">
        <v>37</v>
      </c>
      <c r="D274" s="60">
        <v>41</v>
      </c>
      <c r="E274" s="30"/>
      <c r="F274" s="31"/>
      <c r="G274" s="59" t="s">
        <v>55</v>
      </c>
      <c r="H274" s="69"/>
      <c r="I274" s="33"/>
      <c r="J274" s="69"/>
      <c r="K274" s="33"/>
      <c r="L274" s="33"/>
      <c r="M274" s="34"/>
      <c r="N274" s="99"/>
      <c r="O274" s="101"/>
    </row>
    <row r="275" spans="1:15" ht="16.5" thickBot="1" x14ac:dyDescent="0.3">
      <c r="A275" s="35" t="str">
        <f>IF(F275&lt;&gt;"",1+MAX($A$5:A274),"")</f>
        <v/>
      </c>
      <c r="B275" s="27"/>
      <c r="C275" s="81" t="s">
        <v>49</v>
      </c>
      <c r="D275" s="60">
        <v>14</v>
      </c>
      <c r="E275" s="30"/>
      <c r="F275" s="31"/>
      <c r="G275" s="59" t="s">
        <v>55</v>
      </c>
      <c r="H275" s="69"/>
      <c r="I275" s="33"/>
      <c r="J275" s="69"/>
      <c r="K275" s="33"/>
      <c r="L275" s="33"/>
      <c r="M275" s="34"/>
      <c r="N275" s="99"/>
    </row>
    <row r="276" spans="1:15" ht="16.5" thickBot="1" x14ac:dyDescent="0.3">
      <c r="A276" s="35">
        <f>IF(F276&lt;&gt;"",1+MAX($A$5:A275),"")</f>
        <v>200</v>
      </c>
      <c r="B276" s="27"/>
      <c r="C276" s="28" t="s">
        <v>50</v>
      </c>
      <c r="D276" s="29">
        <f>ROUNDUP(1+D274/2,0)</f>
        <v>22</v>
      </c>
      <c r="E276" s="30">
        <v>0.05</v>
      </c>
      <c r="F276" s="31">
        <f>D276*(1+E276)</f>
        <v>23.1</v>
      </c>
      <c r="G276" s="32" t="s">
        <v>45</v>
      </c>
      <c r="H276" s="69">
        <f>H113</f>
        <v>21</v>
      </c>
      <c r="I276" s="33">
        <f>H276*F276</f>
        <v>485.1</v>
      </c>
      <c r="J276" s="69">
        <f>J113</f>
        <v>33</v>
      </c>
      <c r="K276" s="33">
        <f>F276*J276</f>
        <v>762.30000000000007</v>
      </c>
      <c r="L276" s="33">
        <f>K276+I276</f>
        <v>1247.4000000000001</v>
      </c>
      <c r="M276" s="34"/>
      <c r="N276" s="99"/>
    </row>
    <row r="277" spans="1:15" ht="16.5" thickBot="1" x14ac:dyDescent="0.3">
      <c r="A277" s="35">
        <f>IF(F277&lt;&gt;"",1+MAX($A$5:A276),"")</f>
        <v>201</v>
      </c>
      <c r="B277" s="27"/>
      <c r="C277" s="28" t="s">
        <v>63</v>
      </c>
      <c r="D277" s="29">
        <f>ROUNDUP(D274*3/10,0)</f>
        <v>13</v>
      </c>
      <c r="E277" s="30">
        <v>0.05</v>
      </c>
      <c r="F277" s="31">
        <f>D277*(1+E277)</f>
        <v>13.65</v>
      </c>
      <c r="G277" s="32" t="s">
        <v>45</v>
      </c>
      <c r="H277" s="69">
        <f>H114</f>
        <v>15</v>
      </c>
      <c r="I277" s="33">
        <f>H277*F277</f>
        <v>204.75</v>
      </c>
      <c r="J277" s="69">
        <f>J114</f>
        <v>23.6</v>
      </c>
      <c r="K277" s="33">
        <f>F277*J277</f>
        <v>322.14000000000004</v>
      </c>
      <c r="L277" s="33">
        <f>K277+I277</f>
        <v>526.8900000000001</v>
      </c>
      <c r="M277" s="34"/>
      <c r="N277" s="99"/>
    </row>
    <row r="278" spans="1:15" ht="16.5" thickBot="1" x14ac:dyDescent="0.3">
      <c r="A278" s="35">
        <f>IF(F278&lt;&gt;"",1+MAX($A$5:A277),"")</f>
        <v>202</v>
      </c>
      <c r="B278" s="27"/>
      <c r="C278" s="28" t="s">
        <v>52</v>
      </c>
      <c r="D278" s="29">
        <f>D274*10.34</f>
        <v>423.94</v>
      </c>
      <c r="E278" s="30">
        <v>0.05</v>
      </c>
      <c r="F278" s="31">
        <f>D278*(1+E278)</f>
        <v>445.137</v>
      </c>
      <c r="G278" s="32" t="s">
        <v>54</v>
      </c>
      <c r="H278" s="69">
        <v>0.4</v>
      </c>
      <c r="I278" s="33">
        <f>H278*F278</f>
        <v>178.0548</v>
      </c>
      <c r="J278" s="69">
        <v>0.5</v>
      </c>
      <c r="K278" s="33">
        <f>F278*J278</f>
        <v>222.5685</v>
      </c>
      <c r="L278" s="33">
        <f>K278+I278</f>
        <v>400.62329999999997</v>
      </c>
      <c r="M278" s="34"/>
      <c r="N278" s="99"/>
    </row>
    <row r="279" spans="1:15" ht="16.5" thickBot="1" x14ac:dyDescent="0.3">
      <c r="A279" s="35">
        <f>IF(F279&lt;&gt;"",1+MAX($A$5:A278),"")</f>
        <v>203</v>
      </c>
      <c r="B279" s="27"/>
      <c r="C279" s="61" t="s">
        <v>53</v>
      </c>
      <c r="D279" s="29">
        <f>(D275*D274*2)</f>
        <v>1148</v>
      </c>
      <c r="E279" s="30">
        <v>0.05</v>
      </c>
      <c r="F279" s="31">
        <f>D279*(1+E279)</f>
        <v>1205.4000000000001</v>
      </c>
      <c r="G279" s="32" t="s">
        <v>54</v>
      </c>
      <c r="H279" s="69">
        <v>1.8</v>
      </c>
      <c r="I279" s="33">
        <f>H279*F279</f>
        <v>2169.7200000000003</v>
      </c>
      <c r="J279" s="69">
        <v>0.56000000000000005</v>
      </c>
      <c r="K279" s="33">
        <f>F279*J279</f>
        <v>675.02400000000011</v>
      </c>
      <c r="L279" s="33">
        <f>K279+I279</f>
        <v>2844.7440000000006</v>
      </c>
      <c r="M279" s="34"/>
      <c r="N279" s="99"/>
    </row>
    <row r="280" spans="1:15" ht="16.5" thickBot="1" x14ac:dyDescent="0.3">
      <c r="A280" s="35">
        <f>IF(F280&lt;&gt;"",1+MAX($A$5:A279),"")</f>
        <v>204</v>
      </c>
      <c r="B280" s="27"/>
      <c r="C280" s="28" t="s">
        <v>114</v>
      </c>
      <c r="D280" s="29">
        <f>16*D279/(32)</f>
        <v>574</v>
      </c>
      <c r="E280" s="30">
        <v>0.05</v>
      </c>
      <c r="F280" s="31">
        <f>D280*(1+E280)</f>
        <v>602.70000000000005</v>
      </c>
      <c r="G280" s="32" t="s">
        <v>55</v>
      </c>
      <c r="H280" s="79"/>
      <c r="I280" s="80"/>
      <c r="J280" s="69">
        <v>0.02</v>
      </c>
      <c r="K280" s="33">
        <f t="shared" ref="K280:K283" si="67">F280*J280</f>
        <v>12.054000000000002</v>
      </c>
      <c r="L280" s="33">
        <f t="shared" ref="L280:L283" si="68">K280+I280</f>
        <v>12.054000000000002</v>
      </c>
      <c r="M280" s="34"/>
      <c r="N280" s="99"/>
    </row>
    <row r="281" spans="1:15" ht="16.5" thickBot="1" x14ac:dyDescent="0.3">
      <c r="A281" s="35">
        <f>IF(F281&lt;&gt;"",1+MAX($A$5:A280),"")</f>
        <v>205</v>
      </c>
      <c r="B281" s="27"/>
      <c r="C281" s="28" t="s">
        <v>111</v>
      </c>
      <c r="D281" s="29">
        <f>D279</f>
        <v>1148</v>
      </c>
      <c r="E281" s="30">
        <v>0.05</v>
      </c>
      <c r="F281" s="31">
        <f>D281*(1+E281)</f>
        <v>1205.4000000000001</v>
      </c>
      <c r="G281" s="32" t="s">
        <v>54</v>
      </c>
      <c r="H281" s="79"/>
      <c r="I281" s="80"/>
      <c r="J281" s="69">
        <v>0.06</v>
      </c>
      <c r="K281" s="33">
        <f t="shared" si="67"/>
        <v>72.323999999999998</v>
      </c>
      <c r="L281" s="33">
        <f t="shared" si="68"/>
        <v>72.323999999999998</v>
      </c>
      <c r="M281" s="34"/>
      <c r="N281" s="99"/>
    </row>
    <row r="282" spans="1:15" ht="16.5" thickBot="1" x14ac:dyDescent="0.3">
      <c r="A282" s="35">
        <f>IF(F282&lt;&gt;"",1+MAX($A$5:A281),"")</f>
        <v>206</v>
      </c>
      <c r="B282" s="27"/>
      <c r="C282" s="28" t="s">
        <v>112</v>
      </c>
      <c r="D282" s="29">
        <f>D279*1.01</f>
        <v>1159.48</v>
      </c>
      <c r="E282" s="30">
        <v>0.05</v>
      </c>
      <c r="F282" s="31">
        <f>D282*(1+E282)</f>
        <v>1217.4540000000002</v>
      </c>
      <c r="G282" s="32" t="s">
        <v>45</v>
      </c>
      <c r="H282" s="79"/>
      <c r="I282" s="80"/>
      <c r="J282" s="69">
        <v>2.5000000000000001E-2</v>
      </c>
      <c r="K282" s="33">
        <f t="shared" si="67"/>
        <v>30.436350000000004</v>
      </c>
      <c r="L282" s="33">
        <f t="shared" si="68"/>
        <v>30.436350000000004</v>
      </c>
      <c r="M282" s="34"/>
      <c r="N282" s="99"/>
    </row>
    <row r="283" spans="1:15" ht="16.5" thickBot="1" x14ac:dyDescent="0.3">
      <c r="A283" s="35">
        <f>IF(F283&lt;&gt;"",1+MAX($A$5:A282),"")</f>
        <v>207</v>
      </c>
      <c r="B283" s="27"/>
      <c r="C283" s="28" t="s">
        <v>113</v>
      </c>
      <c r="D283" s="29">
        <f>D279*1.5</f>
        <v>1722</v>
      </c>
      <c r="E283" s="30">
        <v>0.05</v>
      </c>
      <c r="F283" s="31">
        <f>D283*(1+E283)</f>
        <v>1808.1000000000001</v>
      </c>
      <c r="G283" s="32" t="s">
        <v>45</v>
      </c>
      <c r="H283" s="79"/>
      <c r="I283" s="80"/>
      <c r="J283" s="69">
        <v>3.2000000000000001E-2</v>
      </c>
      <c r="K283" s="33">
        <f t="shared" si="67"/>
        <v>57.859200000000008</v>
      </c>
      <c r="L283" s="33">
        <f t="shared" si="68"/>
        <v>57.859200000000008</v>
      </c>
      <c r="M283" s="34"/>
      <c r="N283" s="99"/>
    </row>
    <row r="284" spans="1:15" ht="16.5" thickBot="1" x14ac:dyDescent="0.3">
      <c r="A284" s="35" t="str">
        <f>IF(F284&lt;&gt;"",1+MAX($A$5:A283),"")</f>
        <v/>
      </c>
      <c r="B284" s="27"/>
      <c r="C284" s="28"/>
      <c r="D284" s="29"/>
      <c r="E284" s="30"/>
      <c r="F284" s="31"/>
      <c r="G284" s="32"/>
      <c r="H284" s="69"/>
      <c r="I284" s="33"/>
      <c r="J284" s="69"/>
      <c r="K284" s="33"/>
      <c r="L284" s="33"/>
      <c r="M284" s="34"/>
      <c r="N284" s="99"/>
    </row>
    <row r="285" spans="1:15" ht="16.5" thickBot="1" x14ac:dyDescent="0.3">
      <c r="A285" s="35" t="str">
        <f>IF(F285&lt;&gt;"",1+MAX($A$5:A284),"")</f>
        <v/>
      </c>
      <c r="B285" s="27"/>
      <c r="C285" s="81" t="s">
        <v>83</v>
      </c>
      <c r="D285" s="60">
        <v>41</v>
      </c>
      <c r="E285" s="30"/>
      <c r="F285" s="31"/>
      <c r="G285" s="59" t="s">
        <v>55</v>
      </c>
      <c r="H285" s="69"/>
      <c r="I285" s="33"/>
      <c r="J285" s="69"/>
      <c r="K285" s="33"/>
      <c r="L285" s="33"/>
      <c r="M285" s="34"/>
      <c r="N285" s="99"/>
      <c r="O285" s="101"/>
    </row>
    <row r="286" spans="1:15" ht="16.5" thickBot="1" x14ac:dyDescent="0.3">
      <c r="A286" s="35" t="str">
        <f>IF(F286&lt;&gt;"",1+MAX($A$5:A285),"")</f>
        <v/>
      </c>
      <c r="B286" s="27"/>
      <c r="C286" s="81" t="s">
        <v>49</v>
      </c>
      <c r="D286" s="60">
        <v>14</v>
      </c>
      <c r="E286" s="30"/>
      <c r="F286" s="31"/>
      <c r="G286" s="59" t="s">
        <v>55</v>
      </c>
      <c r="H286" s="69"/>
      <c r="I286" s="33"/>
      <c r="J286" s="69"/>
      <c r="K286" s="33"/>
      <c r="L286" s="33"/>
      <c r="M286" s="34"/>
      <c r="N286" s="99"/>
    </row>
    <row r="287" spans="1:15" ht="16.5" thickBot="1" x14ac:dyDescent="0.3">
      <c r="A287" s="35">
        <f>IF(F287&lt;&gt;"",1+MAX($A$5:A286),"")</f>
        <v>208</v>
      </c>
      <c r="B287" s="27"/>
      <c r="C287" s="28" t="s">
        <v>50</v>
      </c>
      <c r="D287" s="29">
        <f>ROUNDUP(1+D285/2,0)</f>
        <v>22</v>
      </c>
      <c r="E287" s="30">
        <v>0.05</v>
      </c>
      <c r="F287" s="31">
        <f>D287*(1+E287)</f>
        <v>23.1</v>
      </c>
      <c r="G287" s="32" t="s">
        <v>45</v>
      </c>
      <c r="H287" s="69">
        <f>H276</f>
        <v>21</v>
      </c>
      <c r="I287" s="33">
        <f>H287*F287</f>
        <v>485.1</v>
      </c>
      <c r="J287" s="69">
        <f>J276</f>
        <v>33</v>
      </c>
      <c r="K287" s="33">
        <f>F287*J287</f>
        <v>762.30000000000007</v>
      </c>
      <c r="L287" s="33">
        <f>K287+I287</f>
        <v>1247.4000000000001</v>
      </c>
      <c r="M287" s="34"/>
      <c r="N287" s="99"/>
    </row>
    <row r="288" spans="1:15" ht="16.5" thickBot="1" x14ac:dyDescent="0.3">
      <c r="A288" s="35">
        <f>IF(F288&lt;&gt;"",1+MAX($A$5:A287),"")</f>
        <v>209</v>
      </c>
      <c r="B288" s="27"/>
      <c r="C288" s="28" t="s">
        <v>63</v>
      </c>
      <c r="D288" s="29">
        <f>ROUNDUP(D285*3/10,0)</f>
        <v>13</v>
      </c>
      <c r="E288" s="30">
        <v>0.05</v>
      </c>
      <c r="F288" s="31">
        <f>D288*(1+E288)</f>
        <v>13.65</v>
      </c>
      <c r="G288" s="32" t="s">
        <v>45</v>
      </c>
      <c r="H288" s="69">
        <f>H277</f>
        <v>15</v>
      </c>
      <c r="I288" s="33">
        <f>H288*F288</f>
        <v>204.75</v>
      </c>
      <c r="J288" s="69">
        <f>J277</f>
        <v>23.6</v>
      </c>
      <c r="K288" s="33">
        <f>F288*J288</f>
        <v>322.14000000000004</v>
      </c>
      <c r="L288" s="33">
        <f>K288+I288</f>
        <v>526.8900000000001</v>
      </c>
      <c r="M288" s="34"/>
      <c r="N288" s="99"/>
    </row>
    <row r="289" spans="1:14" ht="16.5" thickBot="1" x14ac:dyDescent="0.3">
      <c r="A289" s="35">
        <f>IF(F289&lt;&gt;"",1+MAX($A$5:A288),"")</f>
        <v>210</v>
      </c>
      <c r="B289" s="27"/>
      <c r="C289" s="28" t="s">
        <v>52</v>
      </c>
      <c r="D289" s="29">
        <f>D285*D286</f>
        <v>574</v>
      </c>
      <c r="E289" s="30">
        <v>0.05</v>
      </c>
      <c r="F289" s="31">
        <f>D289*(1+E289)</f>
        <v>602.70000000000005</v>
      </c>
      <c r="G289" s="32" t="s">
        <v>54</v>
      </c>
      <c r="H289" s="69">
        <f>H278</f>
        <v>0.4</v>
      </c>
      <c r="I289" s="33">
        <f>H289*F289</f>
        <v>241.08000000000004</v>
      </c>
      <c r="J289" s="69">
        <f>J278</f>
        <v>0.5</v>
      </c>
      <c r="K289" s="33">
        <f>F289*J289</f>
        <v>301.35000000000002</v>
      </c>
      <c r="L289" s="33">
        <f>K289+I289</f>
        <v>542.43000000000006</v>
      </c>
      <c r="M289" s="34"/>
      <c r="N289" s="99"/>
    </row>
    <row r="290" spans="1:14" ht="16.5" thickBot="1" x14ac:dyDescent="0.3">
      <c r="A290" s="35">
        <f>IF(F290&lt;&gt;"",1+MAX($A$5:A289),"")</f>
        <v>211</v>
      </c>
      <c r="B290" s="27"/>
      <c r="C290" s="61" t="s">
        <v>53</v>
      </c>
      <c r="D290" s="29">
        <f>(D286*D285)</f>
        <v>574</v>
      </c>
      <c r="E290" s="30">
        <v>0.05</v>
      </c>
      <c r="F290" s="31">
        <f>D290*(1+E290)</f>
        <v>602.70000000000005</v>
      </c>
      <c r="G290" s="32" t="s">
        <v>54</v>
      </c>
      <c r="H290" s="69">
        <f>H279</f>
        <v>1.8</v>
      </c>
      <c r="I290" s="33">
        <f>H290*F290</f>
        <v>1084.8600000000001</v>
      </c>
      <c r="J290" s="69">
        <f>J279</f>
        <v>0.56000000000000005</v>
      </c>
      <c r="K290" s="33">
        <f>F290*J290</f>
        <v>337.51200000000006</v>
      </c>
      <c r="L290" s="33">
        <f>K290+I290</f>
        <v>1422.3720000000003</v>
      </c>
      <c r="M290" s="34"/>
      <c r="N290" s="99"/>
    </row>
    <row r="291" spans="1:14" ht="16.5" thickBot="1" x14ac:dyDescent="0.3">
      <c r="A291" s="35">
        <f>IF(F291&lt;&gt;"",1+MAX($A$5:A290),"")</f>
        <v>212</v>
      </c>
      <c r="B291" s="27"/>
      <c r="C291" s="28" t="s">
        <v>114</v>
      </c>
      <c r="D291" s="29">
        <f>16*D290/(32)</f>
        <v>287</v>
      </c>
      <c r="E291" s="30">
        <v>0.05</v>
      </c>
      <c r="F291" s="31">
        <f>D291*(1+E291)</f>
        <v>301.35000000000002</v>
      </c>
      <c r="G291" s="32" t="s">
        <v>55</v>
      </c>
      <c r="H291" s="79"/>
      <c r="I291" s="80"/>
      <c r="J291" s="69">
        <v>0.02</v>
      </c>
      <c r="K291" s="33">
        <f t="shared" ref="K291:K294" si="69">F291*J291</f>
        <v>6.027000000000001</v>
      </c>
      <c r="L291" s="33">
        <f t="shared" ref="L291:L294" si="70">K291+I291</f>
        <v>6.027000000000001</v>
      </c>
      <c r="M291" s="34"/>
      <c r="N291" s="99"/>
    </row>
    <row r="292" spans="1:14" ht="16.5" thickBot="1" x14ac:dyDescent="0.3">
      <c r="A292" s="35">
        <f>IF(F292&lt;&gt;"",1+MAX($A$5:A291),"")</f>
        <v>213</v>
      </c>
      <c r="B292" s="27"/>
      <c r="C292" s="28" t="s">
        <v>111</v>
      </c>
      <c r="D292" s="29">
        <f>D290</f>
        <v>574</v>
      </c>
      <c r="E292" s="30">
        <v>0.05</v>
      </c>
      <c r="F292" s="31">
        <f>D292*(1+E292)</f>
        <v>602.70000000000005</v>
      </c>
      <c r="G292" s="32" t="s">
        <v>54</v>
      </c>
      <c r="H292" s="79"/>
      <c r="I292" s="80"/>
      <c r="J292" s="69">
        <v>0.06</v>
      </c>
      <c r="K292" s="33">
        <f t="shared" si="69"/>
        <v>36.161999999999999</v>
      </c>
      <c r="L292" s="33">
        <f t="shared" si="70"/>
        <v>36.161999999999999</v>
      </c>
      <c r="M292" s="34"/>
      <c r="N292" s="99"/>
    </row>
    <row r="293" spans="1:14" ht="16.5" thickBot="1" x14ac:dyDescent="0.3">
      <c r="A293" s="35">
        <f>IF(F293&lt;&gt;"",1+MAX($A$5:A292),"")</f>
        <v>214</v>
      </c>
      <c r="B293" s="27"/>
      <c r="C293" s="28" t="s">
        <v>112</v>
      </c>
      <c r="D293" s="29">
        <f>D290*1.01</f>
        <v>579.74</v>
      </c>
      <c r="E293" s="30">
        <v>0.05</v>
      </c>
      <c r="F293" s="31">
        <f>D293*(1+E293)</f>
        <v>608.72700000000009</v>
      </c>
      <c r="G293" s="32" t="s">
        <v>45</v>
      </c>
      <c r="H293" s="79"/>
      <c r="I293" s="80"/>
      <c r="J293" s="69">
        <v>2.5000000000000001E-2</v>
      </c>
      <c r="K293" s="33">
        <f t="shared" si="69"/>
        <v>15.218175000000002</v>
      </c>
      <c r="L293" s="33">
        <f t="shared" si="70"/>
        <v>15.218175000000002</v>
      </c>
      <c r="M293" s="34"/>
      <c r="N293" s="99"/>
    </row>
    <row r="294" spans="1:14" ht="16.5" thickBot="1" x14ac:dyDescent="0.3">
      <c r="A294" s="35">
        <f>IF(F294&lt;&gt;"",1+MAX($A$5:A293),"")</f>
        <v>215</v>
      </c>
      <c r="B294" s="27"/>
      <c r="C294" s="28" t="s">
        <v>113</v>
      </c>
      <c r="D294" s="29">
        <f>D290*1.5</f>
        <v>861</v>
      </c>
      <c r="E294" s="30">
        <v>0.05</v>
      </c>
      <c r="F294" s="31">
        <f>D294*(1+E294)</f>
        <v>904.05000000000007</v>
      </c>
      <c r="G294" s="32" t="s">
        <v>45</v>
      </c>
      <c r="H294" s="79"/>
      <c r="I294" s="80"/>
      <c r="J294" s="69">
        <v>3.2000000000000001E-2</v>
      </c>
      <c r="K294" s="33">
        <f t="shared" si="69"/>
        <v>28.929600000000004</v>
      </c>
      <c r="L294" s="33">
        <f t="shared" si="70"/>
        <v>28.929600000000004</v>
      </c>
      <c r="M294" s="34"/>
      <c r="N294" s="99"/>
    </row>
    <row r="295" spans="1:14" ht="16.5" thickBot="1" x14ac:dyDescent="0.3">
      <c r="A295" s="35" t="str">
        <f>IF(F295&lt;&gt;"",1+MAX($A$5:A294),"")</f>
        <v/>
      </c>
      <c r="B295" s="27"/>
      <c r="C295" s="28"/>
      <c r="D295" s="29"/>
      <c r="E295" s="30"/>
      <c r="F295" s="31"/>
      <c r="G295" s="32"/>
      <c r="H295" s="69"/>
      <c r="I295" s="33"/>
      <c r="J295" s="69"/>
      <c r="K295" s="33"/>
      <c r="L295" s="33"/>
      <c r="M295" s="34"/>
      <c r="N295" s="99"/>
    </row>
    <row r="296" spans="1:14" ht="16.5" thickBot="1" x14ac:dyDescent="0.3">
      <c r="A296" s="35" t="str">
        <f>IF(F296&lt;&gt;"",1+MAX($A$5:A295),"")</f>
        <v/>
      </c>
      <c r="B296" s="27"/>
      <c r="C296" s="81" t="s">
        <v>80</v>
      </c>
      <c r="D296" s="60">
        <v>405</v>
      </c>
      <c r="E296" s="30"/>
      <c r="F296" s="31"/>
      <c r="G296" s="59" t="s">
        <v>55</v>
      </c>
      <c r="H296" s="69"/>
      <c r="I296" s="33"/>
      <c r="J296" s="69"/>
      <c r="K296" s="33"/>
      <c r="L296" s="33"/>
      <c r="M296" s="34"/>
      <c r="N296" s="99"/>
    </row>
    <row r="297" spans="1:14" ht="16.5" thickBot="1" x14ac:dyDescent="0.3">
      <c r="A297" s="35">
        <f>IF(F297&lt;&gt;"",1+MAX($A$5:A296),"")</f>
        <v>216</v>
      </c>
      <c r="B297" s="27"/>
      <c r="C297" s="28" t="s">
        <v>82</v>
      </c>
      <c r="D297" s="29">
        <f>D296</f>
        <v>405</v>
      </c>
      <c r="E297" s="30">
        <v>0.05</v>
      </c>
      <c r="F297" s="31">
        <f>D297*(1+E297)</f>
        <v>425.25</v>
      </c>
      <c r="G297" s="32" t="s">
        <v>55</v>
      </c>
      <c r="H297" s="69">
        <v>2.1</v>
      </c>
      <c r="I297" s="33">
        <f>H297*F297</f>
        <v>893.02500000000009</v>
      </c>
      <c r="J297" s="69">
        <v>2.6</v>
      </c>
      <c r="K297" s="33">
        <f>F297*J297</f>
        <v>1105.6500000000001</v>
      </c>
      <c r="L297" s="33">
        <f>K297+I297</f>
        <v>1998.6750000000002</v>
      </c>
      <c r="M297" s="34"/>
      <c r="N297" s="99"/>
    </row>
    <row r="298" spans="1:14" ht="16.5" thickBot="1" x14ac:dyDescent="0.3">
      <c r="A298" s="35">
        <f>IF(F298&lt;&gt;"",1+MAX($A$5:A297),"")</f>
        <v>217</v>
      </c>
      <c r="B298" s="27"/>
      <c r="C298" s="28" t="s">
        <v>81</v>
      </c>
      <c r="D298" s="29">
        <f>405*4</f>
        <v>1620</v>
      </c>
      <c r="E298" s="30">
        <v>0.05</v>
      </c>
      <c r="F298" s="31">
        <f>D298*(1+E298)</f>
        <v>1701</v>
      </c>
      <c r="G298" s="32" t="s">
        <v>54</v>
      </c>
      <c r="H298" s="69">
        <v>1.8</v>
      </c>
      <c r="I298" s="33">
        <f>H298*F298</f>
        <v>3061.8</v>
      </c>
      <c r="J298" s="69">
        <v>1.6</v>
      </c>
      <c r="K298" s="33">
        <f>F298*J298</f>
        <v>2721.6000000000004</v>
      </c>
      <c r="L298" s="33">
        <f>K298+I298</f>
        <v>5783.4000000000005</v>
      </c>
      <c r="M298" s="34"/>
      <c r="N298" s="99"/>
    </row>
    <row r="299" spans="1:14" ht="16.5" thickBot="1" x14ac:dyDescent="0.3">
      <c r="A299" s="35" t="str">
        <f>IF(F299&lt;&gt;"",1+MAX($A$5:A298),"")</f>
        <v/>
      </c>
      <c r="B299" s="27"/>
      <c r="C299" s="28"/>
      <c r="D299" s="29"/>
      <c r="E299" s="30"/>
      <c r="F299" s="31"/>
      <c r="G299" s="32"/>
      <c r="H299" s="69"/>
      <c r="I299" s="33"/>
      <c r="J299" s="69"/>
      <c r="K299" s="33"/>
      <c r="L299" s="33"/>
      <c r="M299" s="34"/>
      <c r="N299" s="99"/>
    </row>
    <row r="300" spans="1:14" ht="16.5" thickBot="1" x14ac:dyDescent="0.3">
      <c r="A300" s="35" t="str">
        <f>IF(F300&lt;&gt;"",1+MAX($A$5:A299),"")</f>
        <v/>
      </c>
      <c r="B300" s="93" t="s">
        <v>124</v>
      </c>
      <c r="C300" s="94" t="s">
        <v>124</v>
      </c>
      <c r="D300" s="29"/>
      <c r="E300" s="30"/>
      <c r="F300" s="31"/>
      <c r="G300" s="32"/>
      <c r="H300" s="82"/>
      <c r="I300" s="33"/>
      <c r="J300" s="82"/>
      <c r="K300" s="33"/>
      <c r="L300" s="33"/>
      <c r="M300" s="34"/>
      <c r="N300" s="99"/>
    </row>
    <row r="301" spans="1:14" ht="16.5" thickBot="1" x14ac:dyDescent="0.3">
      <c r="A301" s="35" t="str">
        <f>IF(F301&lt;&gt;"",1+MAX($A$5:A300),"")</f>
        <v/>
      </c>
      <c r="B301" s="27"/>
      <c r="C301" s="28"/>
      <c r="D301" s="29"/>
      <c r="E301" s="30"/>
      <c r="F301" s="31"/>
      <c r="G301" s="32"/>
      <c r="H301" s="82"/>
      <c r="I301" s="33"/>
      <c r="J301" s="82"/>
      <c r="K301" s="33"/>
      <c r="L301" s="33"/>
      <c r="M301" s="34"/>
      <c r="N301" s="99"/>
    </row>
    <row r="302" spans="1:14" ht="16.5" thickBot="1" x14ac:dyDescent="0.3">
      <c r="A302" s="35" t="str">
        <f>IF(F302&lt;&gt;"",1+MAX($A$5:A301),"")</f>
        <v/>
      </c>
      <c r="B302" s="27"/>
      <c r="C302" s="83" t="s">
        <v>78</v>
      </c>
      <c r="D302" s="29"/>
      <c r="E302" s="30"/>
      <c r="F302" s="31"/>
      <c r="G302" s="32"/>
      <c r="H302" s="82"/>
      <c r="I302" s="33"/>
      <c r="J302" s="82"/>
      <c r="K302" s="33"/>
      <c r="L302" s="33"/>
      <c r="M302" s="34"/>
      <c r="N302" s="99"/>
    </row>
    <row r="303" spans="1:14" ht="16.5" thickBot="1" x14ac:dyDescent="0.3">
      <c r="A303" s="35" t="str">
        <f>IF(F303&lt;&gt;"",1+MAX($A$5:A302),"")</f>
        <v/>
      </c>
      <c r="B303" s="27"/>
      <c r="C303" s="28"/>
      <c r="D303" s="29"/>
      <c r="E303" s="30"/>
      <c r="F303" s="31"/>
      <c r="G303" s="32"/>
      <c r="H303" s="82"/>
      <c r="I303" s="33"/>
      <c r="J303" s="82"/>
      <c r="K303" s="33"/>
      <c r="L303" s="33"/>
      <c r="M303" s="34"/>
      <c r="N303" s="99"/>
    </row>
    <row r="304" spans="1:14" ht="16.5" thickBot="1" x14ac:dyDescent="0.3">
      <c r="A304" s="35" t="str">
        <f>IF(F304&lt;&gt;"",1+MAX($A$5:A303),"")</f>
        <v/>
      </c>
      <c r="B304" s="27"/>
      <c r="C304" s="81" t="s">
        <v>125</v>
      </c>
      <c r="D304" s="29"/>
      <c r="E304" s="30"/>
      <c r="F304" s="31"/>
      <c r="G304" s="32"/>
      <c r="H304" s="82"/>
      <c r="I304" s="33"/>
      <c r="J304" s="82"/>
      <c r="K304" s="33"/>
      <c r="L304" s="33"/>
      <c r="M304" s="34"/>
      <c r="N304" s="99"/>
    </row>
    <row r="305" spans="1:14" ht="16.5" thickBot="1" x14ac:dyDescent="0.3">
      <c r="A305" s="35">
        <f>IF(F305&lt;&gt;"",1+MAX($A$5:A304),"")</f>
        <v>218</v>
      </c>
      <c r="B305" s="27"/>
      <c r="C305" s="28" t="s">
        <v>126</v>
      </c>
      <c r="D305" s="29">
        <v>43232.25</v>
      </c>
      <c r="E305" s="30">
        <v>0.05</v>
      </c>
      <c r="F305" s="31">
        <f>D305*(1+E305)</f>
        <v>45393.862500000003</v>
      </c>
      <c r="G305" s="32" t="s">
        <v>197</v>
      </c>
      <c r="H305" s="82">
        <v>2.1</v>
      </c>
      <c r="I305" s="33">
        <f t="shared" ref="I305:I334" si="71">H305*F305</f>
        <v>95327.111250000016</v>
      </c>
      <c r="J305" s="82">
        <v>1.6</v>
      </c>
      <c r="K305" s="33">
        <f t="shared" ref="K305:K334" si="72">F305*J305</f>
        <v>72630.180000000008</v>
      </c>
      <c r="L305" s="33">
        <f t="shared" ref="L305:L334" si="73">K305+I305</f>
        <v>167957.29125000001</v>
      </c>
      <c r="M305" s="34"/>
      <c r="N305" s="99">
        <f>48.85*885</f>
        <v>43232.25</v>
      </c>
    </row>
    <row r="306" spans="1:14" ht="16.5" thickBot="1" x14ac:dyDescent="0.3">
      <c r="A306" s="35">
        <f>IF(F306&lt;&gt;"",1+MAX($A$5:A305),"")</f>
        <v>219</v>
      </c>
      <c r="B306" s="27"/>
      <c r="C306" s="28" t="s">
        <v>127</v>
      </c>
      <c r="D306" s="29">
        <v>4802.5200000000004</v>
      </c>
      <c r="E306" s="30">
        <v>0.05</v>
      </c>
      <c r="F306" s="31">
        <f>D306*(1+E306)</f>
        <v>5042.6460000000006</v>
      </c>
      <c r="G306" s="32" t="s">
        <v>197</v>
      </c>
      <c r="H306" s="82">
        <v>2.1</v>
      </c>
      <c r="I306" s="33">
        <f t="shared" ref="I306:I333" si="74">H306*F306</f>
        <v>10589.556600000002</v>
      </c>
      <c r="J306" s="82">
        <v>1.6</v>
      </c>
      <c r="K306" s="33">
        <f t="shared" ref="K306:K333" si="75">F306*J306</f>
        <v>8068.2336000000014</v>
      </c>
      <c r="L306" s="33">
        <f t="shared" ref="L306:L333" si="76">K306+I306</f>
        <v>18657.790200000003</v>
      </c>
      <c r="M306" s="34"/>
      <c r="N306" s="99">
        <f>25.82*186</f>
        <v>4802.5200000000004</v>
      </c>
    </row>
    <row r="307" spans="1:14" ht="16.5" thickBot="1" x14ac:dyDescent="0.3">
      <c r="A307" s="35">
        <f>IF(F307&lt;&gt;"",1+MAX($A$5:A306),"")</f>
        <v>220</v>
      </c>
      <c r="B307" s="27"/>
      <c r="C307" s="28" t="s">
        <v>128</v>
      </c>
      <c r="D307" s="29">
        <v>15597.140000000001</v>
      </c>
      <c r="E307" s="30">
        <v>0.05</v>
      </c>
      <c r="F307" s="31">
        <f>D307*(1+E307)</f>
        <v>16376.997000000001</v>
      </c>
      <c r="G307" s="32" t="s">
        <v>197</v>
      </c>
      <c r="H307" s="82">
        <v>2.1</v>
      </c>
      <c r="I307" s="33">
        <f t="shared" si="74"/>
        <v>34391.693700000003</v>
      </c>
      <c r="J307" s="82">
        <v>1.6</v>
      </c>
      <c r="K307" s="33">
        <f t="shared" si="75"/>
        <v>26203.195200000002</v>
      </c>
      <c r="L307" s="33">
        <f t="shared" si="76"/>
        <v>60594.888900000005</v>
      </c>
      <c r="M307" s="34"/>
      <c r="N307" s="99">
        <f>32.63*478</f>
        <v>15597.140000000001</v>
      </c>
    </row>
    <row r="308" spans="1:14" ht="16.5" thickBot="1" x14ac:dyDescent="0.3">
      <c r="A308" s="35">
        <f>IF(F308&lt;&gt;"",1+MAX($A$5:A307),"")</f>
        <v>221</v>
      </c>
      <c r="B308" s="27"/>
      <c r="C308" s="28" t="s">
        <v>129</v>
      </c>
      <c r="D308" s="29">
        <v>1679.26</v>
      </c>
      <c r="E308" s="30">
        <v>0.05</v>
      </c>
      <c r="F308" s="31">
        <f>D308*(1+E308)</f>
        <v>1763.223</v>
      </c>
      <c r="G308" s="32" t="s">
        <v>197</v>
      </c>
      <c r="H308" s="82">
        <v>2.1</v>
      </c>
      <c r="I308" s="33">
        <f t="shared" si="74"/>
        <v>3702.7683000000002</v>
      </c>
      <c r="J308" s="82">
        <v>1.6</v>
      </c>
      <c r="K308" s="33">
        <f t="shared" si="75"/>
        <v>2821.1568000000002</v>
      </c>
      <c r="L308" s="33">
        <f t="shared" si="76"/>
        <v>6523.9251000000004</v>
      </c>
      <c r="M308" s="34"/>
      <c r="N308" s="99">
        <f>76.33*22</f>
        <v>1679.26</v>
      </c>
    </row>
    <row r="309" spans="1:14" ht="16.5" thickBot="1" x14ac:dyDescent="0.3">
      <c r="A309" s="35">
        <f>IF(F309&lt;&gt;"",1+MAX($A$5:A308),"")</f>
        <v>222</v>
      </c>
      <c r="B309" s="27"/>
      <c r="C309" s="28" t="s">
        <v>130</v>
      </c>
      <c r="D309" s="29">
        <v>2358.1699999999996</v>
      </c>
      <c r="E309" s="30">
        <v>0.05</v>
      </c>
      <c r="F309" s="31">
        <f>D309*(1+E309)</f>
        <v>2476.0784999999996</v>
      </c>
      <c r="G309" s="32" t="s">
        <v>197</v>
      </c>
      <c r="H309" s="82">
        <v>2.1</v>
      </c>
      <c r="I309" s="33">
        <f t="shared" si="74"/>
        <v>5199.7648499999996</v>
      </c>
      <c r="J309" s="82">
        <v>1.6</v>
      </c>
      <c r="K309" s="33">
        <f t="shared" si="75"/>
        <v>3961.7255999999998</v>
      </c>
      <c r="L309" s="33">
        <f t="shared" si="76"/>
        <v>9161.4904499999993</v>
      </c>
      <c r="M309" s="34"/>
      <c r="N309" s="99">
        <f>76.07*31</f>
        <v>2358.1699999999996</v>
      </c>
    </row>
    <row r="310" spans="1:14" ht="16.5" thickBot="1" x14ac:dyDescent="0.3">
      <c r="A310" s="35">
        <f>IF(F310&lt;&gt;"",1+MAX($A$5:A309),"")</f>
        <v>223</v>
      </c>
      <c r="B310" s="27"/>
      <c r="C310" s="28" t="s">
        <v>131</v>
      </c>
      <c r="D310" s="29">
        <v>2720.67</v>
      </c>
      <c r="E310" s="30">
        <v>0.05</v>
      </c>
      <c r="F310" s="31">
        <f>D310*(1+E310)</f>
        <v>2856.7035000000001</v>
      </c>
      <c r="G310" s="32" t="s">
        <v>197</v>
      </c>
      <c r="H310" s="82">
        <v>2.1</v>
      </c>
      <c r="I310" s="33">
        <f t="shared" si="74"/>
        <v>5999.0773500000005</v>
      </c>
      <c r="J310" s="82">
        <v>1.6</v>
      </c>
      <c r="K310" s="33">
        <f t="shared" si="75"/>
        <v>4570.7256000000007</v>
      </c>
      <c r="L310" s="33">
        <f t="shared" si="76"/>
        <v>10569.802950000001</v>
      </c>
      <c r="M310" s="34"/>
      <c r="N310" s="99">
        <f>39.43*69</f>
        <v>2720.67</v>
      </c>
    </row>
    <row r="311" spans="1:14" ht="16.5" thickBot="1" x14ac:dyDescent="0.3">
      <c r="A311" s="35">
        <f>IF(F311&lt;&gt;"",1+MAX($A$5:A310),"")</f>
        <v>224</v>
      </c>
      <c r="B311" s="27"/>
      <c r="C311" s="28" t="s">
        <v>132</v>
      </c>
      <c r="D311" s="29">
        <v>196</v>
      </c>
      <c r="E311" s="30">
        <v>0.05</v>
      </c>
      <c r="F311" s="31">
        <f>D311*(1+E311)</f>
        <v>205.8</v>
      </c>
      <c r="G311" s="32" t="s">
        <v>197</v>
      </c>
      <c r="H311" s="82">
        <v>2.1</v>
      </c>
      <c r="I311" s="33">
        <f t="shared" si="74"/>
        <v>432.18000000000006</v>
      </c>
      <c r="J311" s="82">
        <v>1.6</v>
      </c>
      <c r="K311" s="33">
        <f t="shared" si="75"/>
        <v>329.28000000000003</v>
      </c>
      <c r="L311" s="33">
        <f t="shared" si="76"/>
        <v>761.46</v>
      </c>
      <c r="M311" s="34"/>
      <c r="N311" s="99">
        <f>9.8*20</f>
        <v>196</v>
      </c>
    </row>
    <row r="312" spans="1:14" ht="16.5" thickBot="1" x14ac:dyDescent="0.3">
      <c r="A312" s="35">
        <f>IF(F312&lt;&gt;"",1+MAX($A$5:A311),"")</f>
        <v>225</v>
      </c>
      <c r="B312" s="27"/>
      <c r="C312" s="28" t="s">
        <v>133</v>
      </c>
      <c r="D312" s="29">
        <v>230</v>
      </c>
      <c r="E312" s="30">
        <v>0.05</v>
      </c>
      <c r="F312" s="31">
        <f>D312*(1+E312)</f>
        <v>241.5</v>
      </c>
      <c r="G312" s="32" t="s">
        <v>197</v>
      </c>
      <c r="H312" s="82">
        <v>2.1</v>
      </c>
      <c r="I312" s="33">
        <f t="shared" si="74"/>
        <v>507.15000000000003</v>
      </c>
      <c r="J312" s="82">
        <v>1.6</v>
      </c>
      <c r="K312" s="33">
        <f t="shared" si="75"/>
        <v>386.40000000000003</v>
      </c>
      <c r="L312" s="33">
        <f t="shared" si="76"/>
        <v>893.55000000000007</v>
      </c>
      <c r="M312" s="34"/>
      <c r="N312" s="99">
        <f>10*23</f>
        <v>230</v>
      </c>
    </row>
    <row r="313" spans="1:14" ht="16.5" thickBot="1" x14ac:dyDescent="0.3">
      <c r="A313" s="35">
        <f>IF(F313&lt;&gt;"",1+MAX($A$5:A312),"")</f>
        <v>226</v>
      </c>
      <c r="B313" s="27"/>
      <c r="C313" s="28" t="s">
        <v>134</v>
      </c>
      <c r="D313" s="29">
        <v>42392</v>
      </c>
      <c r="E313" s="30">
        <v>0.05</v>
      </c>
      <c r="F313" s="31">
        <f>D313*(1+E313)</f>
        <v>44511.6</v>
      </c>
      <c r="G313" s="32" t="s">
        <v>197</v>
      </c>
      <c r="H313" s="82">
        <v>2.1</v>
      </c>
      <c r="I313" s="33">
        <f t="shared" si="74"/>
        <v>93474.36</v>
      </c>
      <c r="J313" s="82">
        <v>1.6</v>
      </c>
      <c r="K313" s="33">
        <f t="shared" si="75"/>
        <v>71218.559999999998</v>
      </c>
      <c r="L313" s="33">
        <f t="shared" si="76"/>
        <v>164692.91999999998</v>
      </c>
      <c r="M313" s="34"/>
      <c r="N313" s="99">
        <f>14*3028</f>
        <v>42392</v>
      </c>
    </row>
    <row r="314" spans="1:14" ht="16.5" thickBot="1" x14ac:dyDescent="0.3">
      <c r="A314" s="35">
        <f>IF(F314&lt;&gt;"",1+MAX($A$5:A313),"")</f>
        <v>227</v>
      </c>
      <c r="B314" s="27"/>
      <c r="C314" s="28" t="s">
        <v>135</v>
      </c>
      <c r="D314" s="29">
        <v>640</v>
      </c>
      <c r="E314" s="30">
        <v>0.05</v>
      </c>
      <c r="F314" s="31">
        <f>D314*(1+E314)</f>
        <v>672</v>
      </c>
      <c r="G314" s="32" t="s">
        <v>197</v>
      </c>
      <c r="H314" s="82">
        <v>2.1</v>
      </c>
      <c r="I314" s="33">
        <f t="shared" si="74"/>
        <v>1411.2</v>
      </c>
      <c r="J314" s="82">
        <v>1.6</v>
      </c>
      <c r="K314" s="33">
        <f t="shared" si="75"/>
        <v>1075.2</v>
      </c>
      <c r="L314" s="33">
        <f t="shared" si="76"/>
        <v>2486.4</v>
      </c>
      <c r="M314" s="34"/>
      <c r="N314" s="99">
        <f>16*40</f>
        <v>640</v>
      </c>
    </row>
    <row r="315" spans="1:14" ht="16.5" thickBot="1" x14ac:dyDescent="0.3">
      <c r="A315" s="35">
        <f>IF(F315&lt;&gt;"",1+MAX($A$5:A314),"")</f>
        <v>228</v>
      </c>
      <c r="B315" s="27"/>
      <c r="C315" s="28" t="s">
        <v>136</v>
      </c>
      <c r="D315" s="29">
        <v>798</v>
      </c>
      <c r="E315" s="30">
        <v>0.05</v>
      </c>
      <c r="F315" s="31">
        <f>D315*(1+E315)</f>
        <v>837.90000000000009</v>
      </c>
      <c r="G315" s="32" t="s">
        <v>197</v>
      </c>
      <c r="H315" s="82">
        <v>2.1</v>
      </c>
      <c r="I315" s="33">
        <f t="shared" si="74"/>
        <v>1759.5900000000004</v>
      </c>
      <c r="J315" s="82">
        <v>1.6</v>
      </c>
      <c r="K315" s="33">
        <f t="shared" si="75"/>
        <v>1340.6400000000003</v>
      </c>
      <c r="L315" s="33">
        <f t="shared" si="76"/>
        <v>3100.2300000000005</v>
      </c>
      <c r="M315" s="34"/>
      <c r="N315" s="99">
        <f>19*42</f>
        <v>798</v>
      </c>
    </row>
    <row r="316" spans="1:14" ht="16.5" thickBot="1" x14ac:dyDescent="0.3">
      <c r="A316" s="35">
        <f>IF(F316&lt;&gt;"",1+MAX($A$5:A315),"")</f>
        <v>229</v>
      </c>
      <c r="B316" s="27"/>
      <c r="C316" s="28" t="s">
        <v>137</v>
      </c>
      <c r="D316" s="29">
        <v>2262</v>
      </c>
      <c r="E316" s="30">
        <v>0.05</v>
      </c>
      <c r="F316" s="31">
        <f>D316*(1+E316)</f>
        <v>2375.1</v>
      </c>
      <c r="G316" s="32" t="s">
        <v>197</v>
      </c>
      <c r="H316" s="82">
        <v>2.1</v>
      </c>
      <c r="I316" s="33">
        <f t="shared" si="74"/>
        <v>4987.71</v>
      </c>
      <c r="J316" s="82">
        <v>1.6</v>
      </c>
      <c r="K316" s="33">
        <f t="shared" si="75"/>
        <v>3800.16</v>
      </c>
      <c r="L316" s="33">
        <f t="shared" si="76"/>
        <v>8787.869999999999</v>
      </c>
      <c r="M316" s="34"/>
      <c r="N316" s="99">
        <f>26*87</f>
        <v>2262</v>
      </c>
    </row>
    <row r="317" spans="1:14" ht="16.5" thickBot="1" x14ac:dyDescent="0.3">
      <c r="A317" s="35">
        <f>IF(F317&lt;&gt;"",1+MAX($A$5:A316),"")</f>
        <v>230</v>
      </c>
      <c r="B317" s="27"/>
      <c r="C317" s="28" t="s">
        <v>138</v>
      </c>
      <c r="D317" s="29">
        <v>13860</v>
      </c>
      <c r="E317" s="30">
        <v>0.05</v>
      </c>
      <c r="F317" s="31">
        <f>D317*(1+E317)</f>
        <v>14553</v>
      </c>
      <c r="G317" s="32" t="s">
        <v>197</v>
      </c>
      <c r="H317" s="82">
        <v>2.1</v>
      </c>
      <c r="I317" s="33">
        <f t="shared" si="74"/>
        <v>30561.300000000003</v>
      </c>
      <c r="J317" s="82">
        <v>1.6</v>
      </c>
      <c r="K317" s="33">
        <f t="shared" si="75"/>
        <v>23284.800000000003</v>
      </c>
      <c r="L317" s="33">
        <f t="shared" si="76"/>
        <v>53846.100000000006</v>
      </c>
      <c r="M317" s="34"/>
      <c r="N317" s="99">
        <f>22*630</f>
        <v>13860</v>
      </c>
    </row>
    <row r="318" spans="1:14" ht="16.5" thickBot="1" x14ac:dyDescent="0.3">
      <c r="A318" s="35">
        <f>IF(F318&lt;&gt;"",1+MAX($A$5:A317),"")</f>
        <v>231</v>
      </c>
      <c r="B318" s="27"/>
      <c r="C318" s="28" t="s">
        <v>139</v>
      </c>
      <c r="D318" s="29">
        <v>9256</v>
      </c>
      <c r="E318" s="30">
        <v>0.05</v>
      </c>
      <c r="F318" s="31">
        <f>D318*(1+E318)</f>
        <v>9718.8000000000011</v>
      </c>
      <c r="G318" s="32" t="s">
        <v>197</v>
      </c>
      <c r="H318" s="82">
        <v>2.1</v>
      </c>
      <c r="I318" s="33">
        <f t="shared" si="74"/>
        <v>20409.480000000003</v>
      </c>
      <c r="J318" s="82">
        <v>1.6</v>
      </c>
      <c r="K318" s="33">
        <f t="shared" si="75"/>
        <v>15550.080000000002</v>
      </c>
      <c r="L318" s="33">
        <f t="shared" si="76"/>
        <v>35959.560000000005</v>
      </c>
      <c r="M318" s="34"/>
      <c r="N318" s="99">
        <f>26*356</f>
        <v>9256</v>
      </c>
    </row>
    <row r="319" spans="1:14" ht="16.5" thickBot="1" x14ac:dyDescent="0.3">
      <c r="A319" s="35">
        <f>IF(F319&lt;&gt;"",1+MAX($A$5:A318),"")</f>
        <v>232</v>
      </c>
      <c r="B319" s="27"/>
      <c r="C319" s="28" t="s">
        <v>140</v>
      </c>
      <c r="D319" s="29">
        <v>4371</v>
      </c>
      <c r="E319" s="30">
        <v>0.05</v>
      </c>
      <c r="F319" s="31">
        <f>D319*(1+E319)</f>
        <v>4589.55</v>
      </c>
      <c r="G319" s="32" t="s">
        <v>197</v>
      </c>
      <c r="H319" s="82">
        <v>2.1</v>
      </c>
      <c r="I319" s="33">
        <f t="shared" si="74"/>
        <v>9638.0550000000003</v>
      </c>
      <c r="J319" s="82">
        <v>1.6</v>
      </c>
      <c r="K319" s="33">
        <f t="shared" si="75"/>
        <v>7343.2800000000007</v>
      </c>
      <c r="L319" s="33">
        <f t="shared" si="76"/>
        <v>16981.334999999999</v>
      </c>
      <c r="M319" s="34"/>
      <c r="N319" s="99">
        <f>31*141</f>
        <v>4371</v>
      </c>
    </row>
    <row r="320" spans="1:14" ht="16.5" thickBot="1" x14ac:dyDescent="0.3">
      <c r="A320" s="35">
        <f>IF(F320&lt;&gt;"",1+MAX($A$5:A319),"")</f>
        <v>233</v>
      </c>
      <c r="B320" s="27"/>
      <c r="C320" s="28" t="s">
        <v>141</v>
      </c>
      <c r="D320" s="29">
        <v>19985</v>
      </c>
      <c r="E320" s="30">
        <v>0.05</v>
      </c>
      <c r="F320" s="31">
        <f>D320*(1+E320)</f>
        <v>20984.25</v>
      </c>
      <c r="G320" s="32" t="s">
        <v>197</v>
      </c>
      <c r="H320" s="82">
        <v>2.1</v>
      </c>
      <c r="I320" s="33">
        <f t="shared" si="74"/>
        <v>44066.925000000003</v>
      </c>
      <c r="J320" s="82">
        <v>1.6</v>
      </c>
      <c r="K320" s="33">
        <f t="shared" si="75"/>
        <v>33574.800000000003</v>
      </c>
      <c r="L320" s="33">
        <f t="shared" si="76"/>
        <v>77641.725000000006</v>
      </c>
      <c r="M320" s="34"/>
      <c r="N320" s="99">
        <f>35*571</f>
        <v>19985</v>
      </c>
    </row>
    <row r="321" spans="1:14" ht="16.5" thickBot="1" x14ac:dyDescent="0.3">
      <c r="A321" s="35">
        <f>IF(F321&lt;&gt;"",1+MAX($A$5:A320),"")</f>
        <v>234</v>
      </c>
      <c r="B321" s="27"/>
      <c r="C321" s="28" t="s">
        <v>142</v>
      </c>
      <c r="D321" s="29">
        <v>1000</v>
      </c>
      <c r="E321" s="30">
        <v>0.05</v>
      </c>
      <c r="F321" s="31">
        <f>D321*(1+E321)</f>
        <v>1050</v>
      </c>
      <c r="G321" s="32" t="s">
        <v>197</v>
      </c>
      <c r="H321" s="82">
        <v>2.1</v>
      </c>
      <c r="I321" s="33">
        <f t="shared" si="74"/>
        <v>2205</v>
      </c>
      <c r="J321" s="82">
        <v>1.6</v>
      </c>
      <c r="K321" s="33">
        <f t="shared" si="75"/>
        <v>1680</v>
      </c>
      <c r="L321" s="33">
        <f t="shared" si="76"/>
        <v>3885</v>
      </c>
      <c r="M321" s="34"/>
      <c r="N321" s="99">
        <f>40*25</f>
        <v>1000</v>
      </c>
    </row>
    <row r="322" spans="1:14" ht="16.5" thickBot="1" x14ac:dyDescent="0.3">
      <c r="A322" s="35">
        <f>IF(F322&lt;&gt;"",1+MAX($A$5:A321),"")</f>
        <v>235</v>
      </c>
      <c r="B322" s="27"/>
      <c r="C322" s="28" t="s">
        <v>143</v>
      </c>
      <c r="D322" s="29">
        <v>3588</v>
      </c>
      <c r="E322" s="30">
        <v>0.05</v>
      </c>
      <c r="F322" s="31">
        <f>D322*(1+E322)</f>
        <v>3767.4</v>
      </c>
      <c r="G322" s="32" t="s">
        <v>197</v>
      </c>
      <c r="H322" s="82">
        <v>2.1</v>
      </c>
      <c r="I322" s="33">
        <f t="shared" si="74"/>
        <v>7911.5400000000009</v>
      </c>
      <c r="J322" s="82">
        <v>1.6</v>
      </c>
      <c r="K322" s="33">
        <f t="shared" si="75"/>
        <v>6027.84</v>
      </c>
      <c r="L322" s="33">
        <f t="shared" si="76"/>
        <v>13939.380000000001</v>
      </c>
      <c r="M322" s="34"/>
      <c r="N322" s="99">
        <f>46*78</f>
        <v>3588</v>
      </c>
    </row>
    <row r="323" spans="1:14" ht="16.5" thickBot="1" x14ac:dyDescent="0.3">
      <c r="A323" s="35">
        <f>IF(F323&lt;&gt;"",1+MAX($A$5:A322),"")</f>
        <v>236</v>
      </c>
      <c r="B323" s="27"/>
      <c r="C323" s="28" t="s">
        <v>144</v>
      </c>
      <c r="D323" s="29">
        <v>15840</v>
      </c>
      <c r="E323" s="30">
        <v>0.05</v>
      </c>
      <c r="F323" s="31">
        <f>D323*(1+E323)</f>
        <v>16632</v>
      </c>
      <c r="G323" s="32" t="s">
        <v>197</v>
      </c>
      <c r="H323" s="82">
        <v>2.1</v>
      </c>
      <c r="I323" s="33">
        <f t="shared" si="74"/>
        <v>34927.200000000004</v>
      </c>
      <c r="J323" s="82">
        <v>1.6</v>
      </c>
      <c r="K323" s="33">
        <f t="shared" si="75"/>
        <v>26611.200000000001</v>
      </c>
      <c r="L323" s="33">
        <f t="shared" si="76"/>
        <v>61538.400000000009</v>
      </c>
      <c r="M323" s="34"/>
      <c r="N323" s="99">
        <f>44*360</f>
        <v>15840</v>
      </c>
    </row>
    <row r="324" spans="1:14" ht="16.5" thickBot="1" x14ac:dyDescent="0.3">
      <c r="A324" s="35">
        <f>IF(F324&lt;&gt;"",1+MAX($A$5:A323),"")</f>
        <v>237</v>
      </c>
      <c r="B324" s="27"/>
      <c r="C324" s="28" t="s">
        <v>145</v>
      </c>
      <c r="D324" s="29">
        <v>3792</v>
      </c>
      <c r="E324" s="30">
        <v>0.05</v>
      </c>
      <c r="F324" s="31">
        <f>D324*(1+E324)</f>
        <v>3981.6000000000004</v>
      </c>
      <c r="G324" s="32" t="s">
        <v>197</v>
      </c>
      <c r="H324" s="82">
        <v>2.1</v>
      </c>
      <c r="I324" s="33">
        <f t="shared" si="74"/>
        <v>8361.36</v>
      </c>
      <c r="J324" s="82">
        <v>1.6</v>
      </c>
      <c r="K324" s="33">
        <f t="shared" si="75"/>
        <v>6370.5600000000013</v>
      </c>
      <c r="L324" s="33">
        <f t="shared" si="76"/>
        <v>14731.920000000002</v>
      </c>
      <c r="M324" s="34"/>
      <c r="N324" s="99">
        <f>48*79</f>
        <v>3792</v>
      </c>
    </row>
    <row r="325" spans="1:14" ht="16.5" thickBot="1" x14ac:dyDescent="0.3">
      <c r="A325" s="35">
        <f>IF(F325&lt;&gt;"",1+MAX($A$5:A324),"")</f>
        <v>238</v>
      </c>
      <c r="B325" s="27"/>
      <c r="C325" s="28" t="s">
        <v>146</v>
      </c>
      <c r="D325" s="29">
        <v>1350</v>
      </c>
      <c r="E325" s="30">
        <v>0.05</v>
      </c>
      <c r="F325" s="31">
        <f>D325*(1+E325)</f>
        <v>1417.5</v>
      </c>
      <c r="G325" s="32" t="s">
        <v>197</v>
      </c>
      <c r="H325" s="82">
        <v>2.1</v>
      </c>
      <c r="I325" s="33">
        <f t="shared" si="74"/>
        <v>2976.75</v>
      </c>
      <c r="J325" s="82">
        <v>1.6</v>
      </c>
      <c r="K325" s="33">
        <f t="shared" si="75"/>
        <v>2268</v>
      </c>
      <c r="L325" s="33">
        <f t="shared" si="76"/>
        <v>5244.75</v>
      </c>
      <c r="M325" s="34"/>
      <c r="N325" s="99">
        <f>50*27</f>
        <v>1350</v>
      </c>
    </row>
    <row r="326" spans="1:14" ht="16.5" thickBot="1" x14ac:dyDescent="0.3">
      <c r="A326" s="35">
        <f>IF(F326&lt;&gt;"",1+MAX($A$5:A325),"")</f>
        <v>239</v>
      </c>
      <c r="B326" s="27"/>
      <c r="C326" s="28" t="s">
        <v>147</v>
      </c>
      <c r="D326" s="29">
        <v>10450</v>
      </c>
      <c r="E326" s="30">
        <v>0.05</v>
      </c>
      <c r="F326" s="31">
        <f>D326*(1+E326)</f>
        <v>10972.5</v>
      </c>
      <c r="G326" s="32" t="s">
        <v>197</v>
      </c>
      <c r="H326" s="82">
        <v>2.1</v>
      </c>
      <c r="I326" s="33">
        <f t="shared" si="74"/>
        <v>23042.25</v>
      </c>
      <c r="J326" s="82">
        <v>1.6</v>
      </c>
      <c r="K326" s="33">
        <f t="shared" si="75"/>
        <v>17556</v>
      </c>
      <c r="L326" s="33">
        <f t="shared" si="76"/>
        <v>40598.25</v>
      </c>
      <c r="M326" s="34"/>
      <c r="N326" s="99">
        <f>55*190</f>
        <v>10450</v>
      </c>
    </row>
    <row r="327" spans="1:14" ht="16.5" thickBot="1" x14ac:dyDescent="0.3">
      <c r="A327" s="35">
        <f>IF(F327&lt;&gt;"",1+MAX($A$5:A326),"")</f>
        <v>240</v>
      </c>
      <c r="B327" s="27"/>
      <c r="C327" s="28" t="s">
        <v>148</v>
      </c>
      <c r="D327" s="29">
        <v>1416</v>
      </c>
      <c r="E327" s="30">
        <v>0.05</v>
      </c>
      <c r="F327" s="31">
        <f>D327*(1+E327)</f>
        <v>1486.8</v>
      </c>
      <c r="G327" s="32" t="s">
        <v>197</v>
      </c>
      <c r="H327" s="82">
        <v>2.1</v>
      </c>
      <c r="I327" s="33">
        <f t="shared" si="74"/>
        <v>3122.28</v>
      </c>
      <c r="J327" s="82">
        <v>1.6</v>
      </c>
      <c r="K327" s="33">
        <f t="shared" si="75"/>
        <v>2378.88</v>
      </c>
      <c r="L327" s="33">
        <f t="shared" si="76"/>
        <v>5501.16</v>
      </c>
      <c r="M327" s="34"/>
      <c r="N327" s="99">
        <f>59*24</f>
        <v>1416</v>
      </c>
    </row>
    <row r="328" spans="1:14" ht="16.5" thickBot="1" x14ac:dyDescent="0.3">
      <c r="A328" s="35">
        <f>IF(F328&lt;&gt;"",1+MAX($A$5:A327),"")</f>
        <v>241</v>
      </c>
      <c r="B328" s="27"/>
      <c r="C328" s="28" t="s">
        <v>149</v>
      </c>
      <c r="D328" s="29">
        <v>7564</v>
      </c>
      <c r="E328" s="30">
        <v>0.05</v>
      </c>
      <c r="F328" s="31">
        <f>D328*(1+E328)</f>
        <v>7942.2000000000007</v>
      </c>
      <c r="G328" s="32" t="s">
        <v>197</v>
      </c>
      <c r="H328" s="82">
        <v>2.1</v>
      </c>
      <c r="I328" s="33">
        <f t="shared" si="74"/>
        <v>16678.620000000003</v>
      </c>
      <c r="J328" s="82">
        <v>1.6</v>
      </c>
      <c r="K328" s="33">
        <f t="shared" si="75"/>
        <v>12707.520000000002</v>
      </c>
      <c r="L328" s="33">
        <f t="shared" si="76"/>
        <v>29386.140000000007</v>
      </c>
      <c r="M328" s="34"/>
      <c r="N328" s="99">
        <f>62*122</f>
        <v>7564</v>
      </c>
    </row>
    <row r="329" spans="1:14" ht="16.5" thickBot="1" x14ac:dyDescent="0.3">
      <c r="A329" s="35">
        <f>IF(F329&lt;&gt;"",1+MAX($A$5:A328),"")</f>
        <v>242</v>
      </c>
      <c r="B329" s="27"/>
      <c r="C329" s="28" t="s">
        <v>150</v>
      </c>
      <c r="D329" s="29">
        <v>4692</v>
      </c>
      <c r="E329" s="30">
        <v>0.05</v>
      </c>
      <c r="F329" s="31">
        <f>D329*(1+E329)</f>
        <v>4926.6000000000004</v>
      </c>
      <c r="G329" s="32" t="s">
        <v>197</v>
      </c>
      <c r="H329" s="82">
        <v>2.1</v>
      </c>
      <c r="I329" s="33">
        <f t="shared" si="74"/>
        <v>10345.86</v>
      </c>
      <c r="J329" s="82">
        <v>1.6</v>
      </c>
      <c r="K329" s="33">
        <f t="shared" si="75"/>
        <v>7882.5600000000013</v>
      </c>
      <c r="L329" s="33">
        <f t="shared" si="76"/>
        <v>18228.420000000002</v>
      </c>
      <c r="M329" s="34"/>
      <c r="N329" s="99">
        <f>68*69</f>
        <v>4692</v>
      </c>
    </row>
    <row r="330" spans="1:14" ht="16.5" thickBot="1" x14ac:dyDescent="0.3">
      <c r="A330" s="35">
        <f>IF(F330&lt;&gt;"",1+MAX($A$5:A329),"")</f>
        <v>243</v>
      </c>
      <c r="B330" s="27"/>
      <c r="C330" s="28" t="s">
        <v>151</v>
      </c>
      <c r="D330" s="29">
        <v>3876</v>
      </c>
      <c r="E330" s="30">
        <v>0.05</v>
      </c>
      <c r="F330" s="31">
        <f>D330*(1+E330)</f>
        <v>4069.8</v>
      </c>
      <c r="G330" s="32" t="s">
        <v>197</v>
      </c>
      <c r="H330" s="82">
        <v>2.1</v>
      </c>
      <c r="I330" s="33">
        <f t="shared" si="74"/>
        <v>8546.58</v>
      </c>
      <c r="J330" s="82">
        <v>1.6</v>
      </c>
      <c r="K330" s="33">
        <f t="shared" si="75"/>
        <v>6511.68</v>
      </c>
      <c r="L330" s="33">
        <f t="shared" si="76"/>
        <v>15058.26</v>
      </c>
      <c r="M330" s="34"/>
      <c r="N330" s="99">
        <f>76*51</f>
        <v>3876</v>
      </c>
    </row>
    <row r="331" spans="1:14" ht="16.5" thickBot="1" x14ac:dyDescent="0.3">
      <c r="A331" s="35">
        <f>IF(F331&lt;&gt;"",1+MAX($A$5:A330),"")</f>
        <v>244</v>
      </c>
      <c r="B331" s="27"/>
      <c r="C331" s="28" t="s">
        <v>152</v>
      </c>
      <c r="D331" s="29">
        <v>2856</v>
      </c>
      <c r="E331" s="30">
        <v>0.05</v>
      </c>
      <c r="F331" s="31">
        <f>D331*(1+E331)</f>
        <v>2998.8</v>
      </c>
      <c r="G331" s="32" t="s">
        <v>197</v>
      </c>
      <c r="H331" s="82">
        <v>2.1</v>
      </c>
      <c r="I331" s="33">
        <f t="shared" si="74"/>
        <v>6297.4800000000005</v>
      </c>
      <c r="J331" s="82">
        <v>1.6</v>
      </c>
      <c r="K331" s="33">
        <f t="shared" si="75"/>
        <v>4798.0800000000008</v>
      </c>
      <c r="L331" s="33">
        <f t="shared" si="76"/>
        <v>11095.560000000001</v>
      </c>
      <c r="M331" s="34"/>
      <c r="N331" s="99">
        <f>84*34</f>
        <v>2856</v>
      </c>
    </row>
    <row r="332" spans="1:14" ht="16.5" thickBot="1" x14ac:dyDescent="0.3">
      <c r="A332" s="35">
        <f>IF(F332&lt;&gt;"",1+MAX($A$5:A331),"")</f>
        <v>245</v>
      </c>
      <c r="B332" s="27"/>
      <c r="C332" s="28" t="s">
        <v>153</v>
      </c>
      <c r="D332" s="29">
        <v>5544</v>
      </c>
      <c r="E332" s="30">
        <v>0.05</v>
      </c>
      <c r="F332" s="31">
        <f>D332*(1+E332)</f>
        <v>5821.2</v>
      </c>
      <c r="G332" s="32" t="s">
        <v>197</v>
      </c>
      <c r="H332" s="82">
        <v>2.1</v>
      </c>
      <c r="I332" s="33">
        <f t="shared" si="74"/>
        <v>12224.52</v>
      </c>
      <c r="J332" s="82">
        <v>1.6</v>
      </c>
      <c r="K332" s="33">
        <f t="shared" si="75"/>
        <v>9313.92</v>
      </c>
      <c r="L332" s="33">
        <f t="shared" si="76"/>
        <v>21538.440000000002</v>
      </c>
      <c r="M332" s="34"/>
      <c r="N332" s="99">
        <f>99*56</f>
        <v>5544</v>
      </c>
    </row>
    <row r="333" spans="1:14" ht="16.5" thickBot="1" x14ac:dyDescent="0.3">
      <c r="A333" s="35">
        <f>IF(F333&lt;&gt;"",1+MAX($A$5:A332),"")</f>
        <v>246</v>
      </c>
      <c r="B333" s="27"/>
      <c r="C333" s="28" t="s">
        <v>154</v>
      </c>
      <c r="D333" s="29">
        <v>6264</v>
      </c>
      <c r="E333" s="30">
        <v>0.05</v>
      </c>
      <c r="F333" s="31">
        <f>D333*(1+E333)</f>
        <v>6577.2000000000007</v>
      </c>
      <c r="G333" s="32" t="s">
        <v>197</v>
      </c>
      <c r="H333" s="82">
        <v>2.1</v>
      </c>
      <c r="I333" s="33">
        <f t="shared" si="74"/>
        <v>13812.120000000003</v>
      </c>
      <c r="J333" s="82">
        <v>1.6</v>
      </c>
      <c r="K333" s="33">
        <f t="shared" si="75"/>
        <v>10523.520000000002</v>
      </c>
      <c r="L333" s="33">
        <f t="shared" si="76"/>
        <v>24335.640000000007</v>
      </c>
      <c r="M333" s="34"/>
      <c r="N333" s="99">
        <f>108*58</f>
        <v>6264</v>
      </c>
    </row>
    <row r="334" spans="1:14" ht="16.5" thickBot="1" x14ac:dyDescent="0.3">
      <c r="A334" s="35">
        <f>IF(F334&lt;&gt;"",1+MAX($A$5:A333),"")</f>
        <v>247</v>
      </c>
      <c r="B334" s="27"/>
      <c r="C334" s="28" t="s">
        <v>155</v>
      </c>
      <c r="D334" s="29">
        <v>23328.95</v>
      </c>
      <c r="E334" s="30">
        <v>0.05</v>
      </c>
      <c r="F334" s="31">
        <f>D334*(1+E334)</f>
        <v>24495.397500000003</v>
      </c>
      <c r="G334" s="32" t="s">
        <v>54</v>
      </c>
      <c r="H334" s="82">
        <v>0</v>
      </c>
      <c r="I334" s="33">
        <f t="shared" si="71"/>
        <v>0</v>
      </c>
      <c r="J334" s="82">
        <v>0</v>
      </c>
      <c r="K334" s="33">
        <f t="shared" si="72"/>
        <v>0</v>
      </c>
      <c r="L334" s="33">
        <f t="shared" si="73"/>
        <v>0</v>
      </c>
      <c r="M334" s="34"/>
      <c r="N334" s="99"/>
    </row>
    <row r="335" spans="1:14" ht="16.5" thickBot="1" x14ac:dyDescent="0.3">
      <c r="A335" s="35" t="str">
        <f>IF(F335&lt;&gt;"",1+MAX($A$5:A334),"")</f>
        <v/>
      </c>
      <c r="B335" s="27"/>
      <c r="C335" s="28"/>
      <c r="D335" s="29"/>
      <c r="E335" s="30"/>
      <c r="F335" s="31"/>
      <c r="G335" s="32"/>
      <c r="H335" s="82"/>
      <c r="I335" s="33"/>
      <c r="J335" s="82"/>
      <c r="K335" s="33"/>
      <c r="L335" s="33"/>
      <c r="M335" s="34"/>
      <c r="N335" s="99"/>
    </row>
    <row r="336" spans="1:14" ht="16.5" thickBot="1" x14ac:dyDescent="0.3">
      <c r="A336" s="35" t="str">
        <f>IF(F336&lt;&gt;"",1+MAX($A$5:A335),"")</f>
        <v/>
      </c>
      <c r="B336" s="27"/>
      <c r="C336" s="81" t="s">
        <v>156</v>
      </c>
      <c r="D336" s="29"/>
      <c r="E336" s="30"/>
      <c r="F336" s="31"/>
      <c r="G336" s="32"/>
      <c r="H336" s="82"/>
      <c r="I336" s="33"/>
      <c r="J336" s="82"/>
      <c r="K336" s="33"/>
      <c r="L336" s="33"/>
      <c r="M336" s="34"/>
      <c r="N336" s="99"/>
    </row>
    <row r="337" spans="1:14" ht="16.5" thickBot="1" x14ac:dyDescent="0.3">
      <c r="A337" s="35">
        <f>IF(F337&lt;&gt;"",1+MAX($A$5:A336),"")</f>
        <v>248</v>
      </c>
      <c r="B337" s="27"/>
      <c r="C337" s="28" t="s">
        <v>157</v>
      </c>
      <c r="D337" s="29">
        <v>3167</v>
      </c>
      <c r="E337" s="30">
        <v>0.05</v>
      </c>
      <c r="F337" s="31">
        <f>D337*(1+E337)</f>
        <v>3325.3500000000004</v>
      </c>
      <c r="G337" s="32" t="s">
        <v>197</v>
      </c>
      <c r="H337" s="82">
        <v>2.1</v>
      </c>
      <c r="I337" s="33">
        <f t="shared" ref="I337:I363" si="77">H337*F337</f>
        <v>6983.2350000000015</v>
      </c>
      <c r="J337" s="82">
        <v>1.6</v>
      </c>
      <c r="K337" s="33">
        <f t="shared" ref="K337:K363" si="78">F337*J337</f>
        <v>5320.5600000000013</v>
      </c>
      <c r="L337" s="33">
        <f t="shared" ref="L337:L363" si="79">K337+I337</f>
        <v>12303.795000000002</v>
      </c>
      <c r="M337" s="34"/>
      <c r="N337" s="99"/>
    </row>
    <row r="338" spans="1:14" ht="16.5" thickBot="1" x14ac:dyDescent="0.3">
      <c r="A338" s="35">
        <f>IF(F338&lt;&gt;"",1+MAX($A$5:A337),"")</f>
        <v>249</v>
      </c>
      <c r="B338" s="27"/>
      <c r="C338" s="28" t="s">
        <v>158</v>
      </c>
      <c r="D338" s="29">
        <v>59.900000000000006</v>
      </c>
      <c r="E338" s="30">
        <v>0.05</v>
      </c>
      <c r="F338" s="31">
        <f>D338*(1+E338)</f>
        <v>62.89500000000001</v>
      </c>
      <c r="G338" s="32" t="s">
        <v>197</v>
      </c>
      <c r="H338" s="82">
        <v>2.1</v>
      </c>
      <c r="I338" s="33">
        <f t="shared" si="77"/>
        <v>132.07950000000002</v>
      </c>
      <c r="J338" s="82">
        <v>1.6</v>
      </c>
      <c r="K338" s="33">
        <f t="shared" si="78"/>
        <v>100.63200000000002</v>
      </c>
      <c r="L338" s="33">
        <f t="shared" si="79"/>
        <v>232.71150000000006</v>
      </c>
      <c r="M338" s="34"/>
      <c r="N338" s="99"/>
    </row>
    <row r="339" spans="1:14" ht="16.5" thickBot="1" x14ac:dyDescent="0.3">
      <c r="A339" s="35">
        <f>IF(F339&lt;&gt;"",1+MAX($A$5:A338),"")</f>
        <v>250</v>
      </c>
      <c r="B339" s="27"/>
      <c r="C339" s="28" t="s">
        <v>158</v>
      </c>
      <c r="D339" s="29">
        <v>72.599999999999994</v>
      </c>
      <c r="E339" s="30">
        <v>0.05</v>
      </c>
      <c r="F339" s="31">
        <f>D339*(1+E339)</f>
        <v>76.23</v>
      </c>
      <c r="G339" s="32" t="s">
        <v>197</v>
      </c>
      <c r="H339" s="82">
        <v>2.1</v>
      </c>
      <c r="I339" s="33">
        <f t="shared" si="77"/>
        <v>160.08300000000003</v>
      </c>
      <c r="J339" s="82">
        <v>1.6</v>
      </c>
      <c r="K339" s="33">
        <f t="shared" si="78"/>
        <v>121.96800000000002</v>
      </c>
      <c r="L339" s="33">
        <f t="shared" si="79"/>
        <v>282.05100000000004</v>
      </c>
      <c r="M339" s="34"/>
      <c r="N339" s="99"/>
    </row>
    <row r="340" spans="1:14" ht="16.5" thickBot="1" x14ac:dyDescent="0.3">
      <c r="A340" s="35">
        <f>IF(F340&lt;&gt;"",1+MAX($A$5:A339),"")</f>
        <v>251</v>
      </c>
      <c r="B340" s="27"/>
      <c r="C340" s="28" t="s">
        <v>159</v>
      </c>
      <c r="D340" s="29">
        <v>169.60000000000002</v>
      </c>
      <c r="E340" s="30">
        <v>0.05</v>
      </c>
      <c r="F340" s="31">
        <f>D340*(1+E340)</f>
        <v>178.08000000000004</v>
      </c>
      <c r="G340" s="32" t="s">
        <v>197</v>
      </c>
      <c r="H340" s="82">
        <v>2.1</v>
      </c>
      <c r="I340" s="33">
        <f t="shared" si="77"/>
        <v>373.96800000000007</v>
      </c>
      <c r="J340" s="82">
        <v>1.6</v>
      </c>
      <c r="K340" s="33">
        <f t="shared" si="78"/>
        <v>284.92800000000005</v>
      </c>
      <c r="L340" s="33">
        <f t="shared" si="79"/>
        <v>658.89600000000019</v>
      </c>
      <c r="M340" s="34"/>
      <c r="N340" s="99"/>
    </row>
    <row r="341" spans="1:14" ht="16.5" thickBot="1" x14ac:dyDescent="0.3">
      <c r="A341" s="35">
        <f>IF(F341&lt;&gt;"",1+MAX($A$5:A340),"")</f>
        <v>252</v>
      </c>
      <c r="B341" s="27"/>
      <c r="C341" s="28" t="s">
        <v>159</v>
      </c>
      <c r="D341" s="29">
        <v>187.15</v>
      </c>
      <c r="E341" s="30">
        <v>0.05</v>
      </c>
      <c r="F341" s="31">
        <f>D341*(1+E341)</f>
        <v>196.50750000000002</v>
      </c>
      <c r="G341" s="32" t="s">
        <v>197</v>
      </c>
      <c r="H341" s="82">
        <v>2.1</v>
      </c>
      <c r="I341" s="33">
        <f t="shared" si="77"/>
        <v>412.66575000000006</v>
      </c>
      <c r="J341" s="82">
        <v>1.6</v>
      </c>
      <c r="K341" s="33">
        <f t="shared" si="78"/>
        <v>314.41200000000003</v>
      </c>
      <c r="L341" s="33">
        <f t="shared" si="79"/>
        <v>727.07775000000015</v>
      </c>
      <c r="M341" s="34"/>
      <c r="N341" s="99"/>
    </row>
    <row r="342" spans="1:14" ht="16.5" thickBot="1" x14ac:dyDescent="0.3">
      <c r="A342" s="35">
        <f>IF(F342&lt;&gt;"",1+MAX($A$5:A341),"")</f>
        <v>253</v>
      </c>
      <c r="B342" s="27"/>
      <c r="C342" s="28" t="s">
        <v>160</v>
      </c>
      <c r="D342" s="29">
        <v>1894.152</v>
      </c>
      <c r="E342" s="30">
        <v>0.05</v>
      </c>
      <c r="F342" s="31">
        <f>D342*(1+E342)</f>
        <v>1988.8596000000002</v>
      </c>
      <c r="G342" s="32" t="s">
        <v>197</v>
      </c>
      <c r="H342" s="82">
        <v>2.1</v>
      </c>
      <c r="I342" s="33">
        <f t="shared" si="77"/>
        <v>4176.605160000001</v>
      </c>
      <c r="J342" s="82">
        <v>1.6</v>
      </c>
      <c r="K342" s="33">
        <f t="shared" si="78"/>
        <v>3182.1753600000006</v>
      </c>
      <c r="L342" s="33">
        <f t="shared" si="79"/>
        <v>7358.7805200000021</v>
      </c>
      <c r="M342" s="34"/>
      <c r="N342" s="99"/>
    </row>
    <row r="343" spans="1:14" ht="16.5" thickBot="1" x14ac:dyDescent="0.3">
      <c r="A343" s="35">
        <f>IF(F343&lt;&gt;"",1+MAX($A$5:A342),"")</f>
        <v>254</v>
      </c>
      <c r="B343" s="27"/>
      <c r="C343" s="28" t="s">
        <v>161</v>
      </c>
      <c r="D343" s="29">
        <v>900.32</v>
      </c>
      <c r="E343" s="30">
        <v>0.05</v>
      </c>
      <c r="F343" s="31">
        <f>D343*(1+E343)</f>
        <v>945.33600000000013</v>
      </c>
      <c r="G343" s="32" t="s">
        <v>197</v>
      </c>
      <c r="H343" s="82">
        <v>2.1</v>
      </c>
      <c r="I343" s="33">
        <f t="shared" si="77"/>
        <v>1985.2056000000005</v>
      </c>
      <c r="J343" s="82">
        <v>1.6</v>
      </c>
      <c r="K343" s="33">
        <f t="shared" si="78"/>
        <v>1512.5376000000003</v>
      </c>
      <c r="L343" s="33">
        <f t="shared" si="79"/>
        <v>3497.7432000000008</v>
      </c>
      <c r="M343" s="34"/>
      <c r="N343" s="99"/>
    </row>
    <row r="344" spans="1:14" ht="16.5" thickBot="1" x14ac:dyDescent="0.3">
      <c r="A344" s="35">
        <f>IF(F344&lt;&gt;"",1+MAX($A$5:A343),"")</f>
        <v>255</v>
      </c>
      <c r="B344" s="27"/>
      <c r="C344" s="28" t="s">
        <v>162</v>
      </c>
      <c r="D344" s="29">
        <v>1359.4349999999999</v>
      </c>
      <c r="E344" s="30">
        <v>0.05</v>
      </c>
      <c r="F344" s="31">
        <f>D344*(1+E344)</f>
        <v>1427.4067500000001</v>
      </c>
      <c r="G344" s="32" t="s">
        <v>197</v>
      </c>
      <c r="H344" s="82">
        <v>2.1</v>
      </c>
      <c r="I344" s="33">
        <f t="shared" si="77"/>
        <v>2997.5541750000002</v>
      </c>
      <c r="J344" s="82">
        <v>1.6</v>
      </c>
      <c r="K344" s="33">
        <f t="shared" si="78"/>
        <v>2283.8508000000002</v>
      </c>
      <c r="L344" s="33">
        <f t="shared" si="79"/>
        <v>5281.4049750000004</v>
      </c>
      <c r="M344" s="34"/>
      <c r="N344" s="99"/>
    </row>
    <row r="345" spans="1:14" ht="16.5" thickBot="1" x14ac:dyDescent="0.3">
      <c r="A345" s="35">
        <f>IF(F345&lt;&gt;"",1+MAX($A$5:A344),"")</f>
        <v>256</v>
      </c>
      <c r="B345" s="27"/>
      <c r="C345" s="28" t="s">
        <v>163</v>
      </c>
      <c r="D345" s="29">
        <v>1648.962</v>
      </c>
      <c r="E345" s="30">
        <v>0.05</v>
      </c>
      <c r="F345" s="31">
        <f>D345*(1+E345)</f>
        <v>1731.4101000000001</v>
      </c>
      <c r="G345" s="32" t="s">
        <v>197</v>
      </c>
      <c r="H345" s="82">
        <v>2.1</v>
      </c>
      <c r="I345" s="33">
        <f t="shared" si="77"/>
        <v>3635.9612100000004</v>
      </c>
      <c r="J345" s="82">
        <v>1.6</v>
      </c>
      <c r="K345" s="33">
        <f t="shared" si="78"/>
        <v>2770.2561600000004</v>
      </c>
      <c r="L345" s="33">
        <f t="shared" si="79"/>
        <v>6406.2173700000003</v>
      </c>
      <c r="M345" s="34"/>
      <c r="N345" s="99"/>
    </row>
    <row r="346" spans="1:14" ht="16.5" thickBot="1" x14ac:dyDescent="0.3">
      <c r="A346" s="35">
        <f>IF(F346&lt;&gt;"",1+MAX($A$5:A345),"")</f>
        <v>257</v>
      </c>
      <c r="B346" s="27"/>
      <c r="C346" s="28" t="s">
        <v>164</v>
      </c>
      <c r="D346" s="29">
        <v>946.21999999999991</v>
      </c>
      <c r="E346" s="30">
        <v>0.05</v>
      </c>
      <c r="F346" s="31">
        <f>D346*(1+E346)</f>
        <v>993.53099999999995</v>
      </c>
      <c r="G346" s="32" t="s">
        <v>197</v>
      </c>
      <c r="H346" s="82">
        <v>2.1</v>
      </c>
      <c r="I346" s="33">
        <f t="shared" si="77"/>
        <v>2086.4151000000002</v>
      </c>
      <c r="J346" s="82">
        <v>1.6</v>
      </c>
      <c r="K346" s="33">
        <f t="shared" si="78"/>
        <v>1589.6496</v>
      </c>
      <c r="L346" s="33">
        <f t="shared" si="79"/>
        <v>3676.0646999999999</v>
      </c>
      <c r="M346" s="34"/>
      <c r="N346" s="99"/>
    </row>
    <row r="347" spans="1:14" ht="16.5" thickBot="1" x14ac:dyDescent="0.3">
      <c r="A347" s="35">
        <f>IF(F347&lt;&gt;"",1+MAX($A$5:A346),"")</f>
        <v>258</v>
      </c>
      <c r="B347" s="27"/>
      <c r="C347" s="28" t="s">
        <v>165</v>
      </c>
      <c r="D347" s="29">
        <v>399.84</v>
      </c>
      <c r="E347" s="30">
        <v>0.05</v>
      </c>
      <c r="F347" s="31">
        <f>D347*(1+E347)</f>
        <v>419.83199999999999</v>
      </c>
      <c r="G347" s="32" t="s">
        <v>197</v>
      </c>
      <c r="H347" s="82">
        <v>2.1</v>
      </c>
      <c r="I347" s="33">
        <f t="shared" si="77"/>
        <v>881.6472</v>
      </c>
      <c r="J347" s="82">
        <v>1.6</v>
      </c>
      <c r="K347" s="33">
        <f t="shared" si="78"/>
        <v>671.73120000000006</v>
      </c>
      <c r="L347" s="33">
        <f t="shared" si="79"/>
        <v>1553.3784000000001</v>
      </c>
      <c r="M347" s="34"/>
      <c r="N347" s="99"/>
    </row>
    <row r="348" spans="1:14" ht="16.5" thickBot="1" x14ac:dyDescent="0.3">
      <c r="A348" s="35">
        <f>IF(F348&lt;&gt;"",1+MAX($A$5:A347),"")</f>
        <v>259</v>
      </c>
      <c r="B348" s="27"/>
      <c r="C348" s="28" t="s">
        <v>166</v>
      </c>
      <c r="D348" s="29">
        <v>819.93600000000004</v>
      </c>
      <c r="E348" s="30">
        <v>0.05</v>
      </c>
      <c r="F348" s="31">
        <f>D348*(1+E348)</f>
        <v>860.93280000000004</v>
      </c>
      <c r="G348" s="32" t="s">
        <v>197</v>
      </c>
      <c r="H348" s="82">
        <v>2.1</v>
      </c>
      <c r="I348" s="33">
        <f t="shared" si="77"/>
        <v>1807.9588800000001</v>
      </c>
      <c r="J348" s="82">
        <v>1.6</v>
      </c>
      <c r="K348" s="33">
        <f t="shared" si="78"/>
        <v>1377.4924800000001</v>
      </c>
      <c r="L348" s="33">
        <f t="shared" si="79"/>
        <v>3185.45136</v>
      </c>
      <c r="M348" s="34"/>
      <c r="N348" s="99"/>
    </row>
    <row r="349" spans="1:14" ht="16.5" thickBot="1" x14ac:dyDescent="0.3">
      <c r="A349" s="35">
        <f>IF(F349&lt;&gt;"",1+MAX($A$5:A348),"")</f>
        <v>260</v>
      </c>
      <c r="B349" s="27"/>
      <c r="C349" s="28" t="s">
        <v>167</v>
      </c>
      <c r="D349" s="29">
        <v>782.8</v>
      </c>
      <c r="E349" s="30">
        <v>0.05</v>
      </c>
      <c r="F349" s="31">
        <f>D349*(1+E349)</f>
        <v>821.93999999999994</v>
      </c>
      <c r="G349" s="32" t="s">
        <v>197</v>
      </c>
      <c r="H349" s="82">
        <v>2.1</v>
      </c>
      <c r="I349" s="33">
        <f t="shared" si="77"/>
        <v>1726.0739999999998</v>
      </c>
      <c r="J349" s="82">
        <v>1.6</v>
      </c>
      <c r="K349" s="33">
        <f t="shared" si="78"/>
        <v>1315.104</v>
      </c>
      <c r="L349" s="33">
        <f t="shared" si="79"/>
        <v>3041.1779999999999</v>
      </c>
      <c r="M349" s="34"/>
      <c r="N349" s="99"/>
    </row>
    <row r="350" spans="1:14" ht="16.5" thickBot="1" x14ac:dyDescent="0.3">
      <c r="A350" s="35">
        <f>IF(F350&lt;&gt;"",1+MAX($A$5:A349),"")</f>
        <v>261</v>
      </c>
      <c r="B350" s="27"/>
      <c r="C350" s="28" t="s">
        <v>168</v>
      </c>
      <c r="D350" s="29">
        <v>789.92</v>
      </c>
      <c r="E350" s="30">
        <v>0.05</v>
      </c>
      <c r="F350" s="31">
        <f>D350*(1+E350)</f>
        <v>829.41599999999994</v>
      </c>
      <c r="G350" s="32" t="s">
        <v>197</v>
      </c>
      <c r="H350" s="82">
        <v>2.1</v>
      </c>
      <c r="I350" s="33">
        <f t="shared" si="77"/>
        <v>1741.7736</v>
      </c>
      <c r="J350" s="82">
        <v>1.6</v>
      </c>
      <c r="K350" s="33">
        <f t="shared" si="78"/>
        <v>1327.0655999999999</v>
      </c>
      <c r="L350" s="33">
        <f t="shared" si="79"/>
        <v>3068.8391999999999</v>
      </c>
      <c r="M350" s="34"/>
      <c r="N350" s="99"/>
    </row>
    <row r="351" spans="1:14" ht="16.5" thickBot="1" x14ac:dyDescent="0.3">
      <c r="A351" s="35">
        <f>IF(F351&lt;&gt;"",1+MAX($A$5:A350),"")</f>
        <v>262</v>
      </c>
      <c r="B351" s="27"/>
      <c r="C351" s="28" t="s">
        <v>169</v>
      </c>
      <c r="D351" s="29">
        <v>1133.1600000000001</v>
      </c>
      <c r="E351" s="30">
        <v>0.05</v>
      </c>
      <c r="F351" s="31">
        <f>D351*(1+E351)</f>
        <v>1189.8180000000002</v>
      </c>
      <c r="G351" s="32" t="s">
        <v>197</v>
      </c>
      <c r="H351" s="82">
        <v>2.1</v>
      </c>
      <c r="I351" s="33">
        <f t="shared" si="77"/>
        <v>2498.6178000000004</v>
      </c>
      <c r="J351" s="82">
        <v>1.6</v>
      </c>
      <c r="K351" s="33">
        <f t="shared" si="78"/>
        <v>1903.7088000000003</v>
      </c>
      <c r="L351" s="33">
        <f t="shared" si="79"/>
        <v>4402.3266000000003</v>
      </c>
      <c r="M351" s="34"/>
      <c r="N351" s="99"/>
    </row>
    <row r="352" spans="1:14" ht="16.5" thickBot="1" x14ac:dyDescent="0.3">
      <c r="A352" s="35">
        <f>IF(F352&lt;&gt;"",1+MAX($A$5:A351),"")</f>
        <v>263</v>
      </c>
      <c r="B352" s="27"/>
      <c r="C352" s="28" t="s">
        <v>170</v>
      </c>
      <c r="D352" s="29">
        <v>1344.5</v>
      </c>
      <c r="E352" s="30">
        <v>0.05</v>
      </c>
      <c r="F352" s="31">
        <f>D352*(1+E352)</f>
        <v>1411.7250000000001</v>
      </c>
      <c r="G352" s="32" t="s">
        <v>197</v>
      </c>
      <c r="H352" s="82">
        <v>2.1</v>
      </c>
      <c r="I352" s="33">
        <f t="shared" si="77"/>
        <v>2964.6225000000004</v>
      </c>
      <c r="J352" s="82">
        <v>1.6</v>
      </c>
      <c r="K352" s="33">
        <f t="shared" si="78"/>
        <v>2258.7600000000002</v>
      </c>
      <c r="L352" s="33">
        <f t="shared" si="79"/>
        <v>5223.3825000000006</v>
      </c>
      <c r="M352" s="34"/>
      <c r="N352" s="99"/>
    </row>
    <row r="353" spans="1:14" ht="16.5" thickBot="1" x14ac:dyDescent="0.3">
      <c r="A353" s="35">
        <f>IF(F353&lt;&gt;"",1+MAX($A$5:A352),"")</f>
        <v>264</v>
      </c>
      <c r="B353" s="27"/>
      <c r="C353" s="28" t="s">
        <v>171</v>
      </c>
      <c r="D353" s="29">
        <v>234.35999999999999</v>
      </c>
      <c r="E353" s="30">
        <v>0.05</v>
      </c>
      <c r="F353" s="31">
        <f>D353*(1+E353)</f>
        <v>246.078</v>
      </c>
      <c r="G353" s="32" t="s">
        <v>197</v>
      </c>
      <c r="H353" s="82">
        <v>2.1</v>
      </c>
      <c r="I353" s="33">
        <f t="shared" si="77"/>
        <v>516.76380000000006</v>
      </c>
      <c r="J353" s="82">
        <v>1.6</v>
      </c>
      <c r="K353" s="33">
        <f t="shared" si="78"/>
        <v>393.72480000000002</v>
      </c>
      <c r="L353" s="33">
        <f t="shared" si="79"/>
        <v>910.48860000000013</v>
      </c>
      <c r="M353" s="34"/>
      <c r="N353" s="99"/>
    </row>
    <row r="354" spans="1:14" ht="16.5" thickBot="1" x14ac:dyDescent="0.3">
      <c r="A354" s="35">
        <f>IF(F354&lt;&gt;"",1+MAX($A$5:A353),"")</f>
        <v>265</v>
      </c>
      <c r="B354" s="27"/>
      <c r="C354" s="28" t="s">
        <v>172</v>
      </c>
      <c r="D354" s="29">
        <v>16433.609</v>
      </c>
      <c r="E354" s="30">
        <v>0.05</v>
      </c>
      <c r="F354" s="31">
        <f>D354*(1+E354)</f>
        <v>17255.28945</v>
      </c>
      <c r="G354" s="32" t="s">
        <v>197</v>
      </c>
      <c r="H354" s="82">
        <v>2.1</v>
      </c>
      <c r="I354" s="33">
        <f t="shared" si="77"/>
        <v>36236.107844999999</v>
      </c>
      <c r="J354" s="82">
        <v>1.6</v>
      </c>
      <c r="K354" s="33">
        <f t="shared" si="78"/>
        <v>27608.46312</v>
      </c>
      <c r="L354" s="33">
        <f t="shared" si="79"/>
        <v>63844.570964999999</v>
      </c>
      <c r="M354" s="34"/>
      <c r="N354" s="99"/>
    </row>
    <row r="355" spans="1:14" ht="16.5" thickBot="1" x14ac:dyDescent="0.3">
      <c r="A355" s="35">
        <f>IF(F355&lt;&gt;"",1+MAX($A$5:A354),"")</f>
        <v>266</v>
      </c>
      <c r="B355" s="27"/>
      <c r="C355" s="28" t="s">
        <v>173</v>
      </c>
      <c r="D355" s="29">
        <v>421.142</v>
      </c>
      <c r="E355" s="30">
        <v>0.05</v>
      </c>
      <c r="F355" s="31">
        <f>D355*(1+E355)</f>
        <v>442.19909999999999</v>
      </c>
      <c r="G355" s="32" t="s">
        <v>197</v>
      </c>
      <c r="H355" s="82">
        <v>2.1</v>
      </c>
      <c r="I355" s="33">
        <f t="shared" si="77"/>
        <v>928.61811</v>
      </c>
      <c r="J355" s="82">
        <v>1.6</v>
      </c>
      <c r="K355" s="33">
        <f t="shared" si="78"/>
        <v>707.51855999999998</v>
      </c>
      <c r="L355" s="33">
        <f t="shared" si="79"/>
        <v>1636.1366699999999</v>
      </c>
      <c r="M355" s="34"/>
      <c r="N355" s="99"/>
    </row>
    <row r="356" spans="1:14" ht="16.5" thickBot="1" x14ac:dyDescent="0.3">
      <c r="A356" s="35">
        <f>IF(F356&lt;&gt;"",1+MAX($A$5:A355),"")</f>
        <v>267</v>
      </c>
      <c r="B356" s="27"/>
      <c r="C356" s="28" t="s">
        <v>174</v>
      </c>
      <c r="D356" s="29">
        <v>1111.2149999999999</v>
      </c>
      <c r="E356" s="30">
        <v>0.05</v>
      </c>
      <c r="F356" s="31">
        <f>D356*(1+E356)</f>
        <v>1166.77575</v>
      </c>
      <c r="G356" s="32" t="s">
        <v>197</v>
      </c>
      <c r="H356" s="82">
        <v>2.1</v>
      </c>
      <c r="I356" s="33">
        <f t="shared" si="77"/>
        <v>2450.2290750000002</v>
      </c>
      <c r="J356" s="82">
        <v>1.6</v>
      </c>
      <c r="K356" s="33">
        <f t="shared" si="78"/>
        <v>1866.8412000000001</v>
      </c>
      <c r="L356" s="33">
        <f t="shared" si="79"/>
        <v>4317.070275</v>
      </c>
      <c r="M356" s="34"/>
      <c r="N356" s="99"/>
    </row>
    <row r="357" spans="1:14" ht="16.5" thickBot="1" x14ac:dyDescent="0.3">
      <c r="A357" s="35">
        <f>IF(F357&lt;&gt;"",1+MAX($A$5:A356),"")</f>
        <v>268</v>
      </c>
      <c r="B357" s="27"/>
      <c r="C357" s="28" t="s">
        <v>175</v>
      </c>
      <c r="D357" s="29">
        <v>3699.4319999999998</v>
      </c>
      <c r="E357" s="30">
        <v>0.05</v>
      </c>
      <c r="F357" s="31">
        <f>D357*(1+E357)</f>
        <v>3884.4036000000001</v>
      </c>
      <c r="G357" s="32" t="s">
        <v>197</v>
      </c>
      <c r="H357" s="82">
        <v>2.1</v>
      </c>
      <c r="I357" s="33">
        <f t="shared" si="77"/>
        <v>8157.2475600000007</v>
      </c>
      <c r="J357" s="82">
        <v>1.6</v>
      </c>
      <c r="K357" s="33">
        <f t="shared" si="78"/>
        <v>6215.0457600000009</v>
      </c>
      <c r="L357" s="33">
        <f t="shared" si="79"/>
        <v>14372.293320000001</v>
      </c>
      <c r="M357" s="34"/>
      <c r="N357" s="99"/>
    </row>
    <row r="358" spans="1:14" ht="16.5" thickBot="1" x14ac:dyDescent="0.3">
      <c r="A358" s="35">
        <f>IF(F358&lt;&gt;"",1+MAX($A$5:A357),"")</f>
        <v>269</v>
      </c>
      <c r="B358" s="27"/>
      <c r="C358" s="28" t="s">
        <v>176</v>
      </c>
      <c r="D358" s="29">
        <v>1679.1599999999999</v>
      </c>
      <c r="E358" s="30">
        <v>0.05</v>
      </c>
      <c r="F358" s="31">
        <f>D358*(1+E358)</f>
        <v>1763.1179999999999</v>
      </c>
      <c r="G358" s="32" t="s">
        <v>197</v>
      </c>
      <c r="H358" s="82">
        <v>2.1</v>
      </c>
      <c r="I358" s="33">
        <f t="shared" si="77"/>
        <v>3702.5477999999998</v>
      </c>
      <c r="J358" s="82">
        <v>1.6</v>
      </c>
      <c r="K358" s="33">
        <f t="shared" si="78"/>
        <v>2820.9888000000001</v>
      </c>
      <c r="L358" s="33">
        <f t="shared" si="79"/>
        <v>6523.5365999999995</v>
      </c>
      <c r="M358" s="34"/>
      <c r="N358" s="99"/>
    </row>
    <row r="359" spans="1:14" ht="16.5" thickBot="1" x14ac:dyDescent="0.3">
      <c r="A359" s="35">
        <f>IF(F359&lt;&gt;"",1+MAX($A$5:A358),"")</f>
        <v>270</v>
      </c>
      <c r="B359" s="27"/>
      <c r="C359" s="28" t="s">
        <v>177</v>
      </c>
      <c r="D359" s="29">
        <v>4949.7800000000007</v>
      </c>
      <c r="E359" s="30">
        <v>0.05</v>
      </c>
      <c r="F359" s="31">
        <f>D359*(1+E359)</f>
        <v>5197.2690000000011</v>
      </c>
      <c r="G359" s="32" t="s">
        <v>197</v>
      </c>
      <c r="H359" s="82">
        <v>2.1</v>
      </c>
      <c r="I359" s="33">
        <f t="shared" si="77"/>
        <v>10914.264900000004</v>
      </c>
      <c r="J359" s="82">
        <v>1.6</v>
      </c>
      <c r="K359" s="33">
        <f t="shared" si="78"/>
        <v>8315.6304000000018</v>
      </c>
      <c r="L359" s="33">
        <f t="shared" si="79"/>
        <v>19229.895300000004</v>
      </c>
      <c r="M359" s="34"/>
      <c r="N359" s="99"/>
    </row>
    <row r="360" spans="1:14" ht="16.5" thickBot="1" x14ac:dyDescent="0.3">
      <c r="A360" s="35">
        <f>IF(F360&lt;&gt;"",1+MAX($A$5:A359),"")</f>
        <v>271</v>
      </c>
      <c r="B360" s="27"/>
      <c r="C360" s="28" t="s">
        <v>178</v>
      </c>
      <c r="D360" s="29">
        <v>12976.249999999998</v>
      </c>
      <c r="E360" s="30">
        <v>0.05</v>
      </c>
      <c r="F360" s="31">
        <f>D360*(1+E360)</f>
        <v>13625.062499999998</v>
      </c>
      <c r="G360" s="32" t="s">
        <v>197</v>
      </c>
      <c r="H360" s="82">
        <v>2.1</v>
      </c>
      <c r="I360" s="33">
        <f t="shared" si="77"/>
        <v>28612.631249999999</v>
      </c>
      <c r="J360" s="82">
        <v>1.6</v>
      </c>
      <c r="K360" s="33">
        <f t="shared" si="78"/>
        <v>21800.1</v>
      </c>
      <c r="L360" s="33">
        <f t="shared" si="79"/>
        <v>50412.731249999997</v>
      </c>
      <c r="M360" s="34"/>
      <c r="N360" s="99"/>
    </row>
    <row r="361" spans="1:14" ht="16.5" thickBot="1" x14ac:dyDescent="0.3">
      <c r="A361" s="35">
        <f>IF(F361&lt;&gt;"",1+MAX($A$5:A360),"")</f>
        <v>272</v>
      </c>
      <c r="B361" s="27"/>
      <c r="C361" s="28" t="s">
        <v>179</v>
      </c>
      <c r="D361" s="29">
        <v>6715.8</v>
      </c>
      <c r="E361" s="30">
        <v>0.05</v>
      </c>
      <c r="F361" s="31">
        <f>D361*(1+E361)</f>
        <v>7051.59</v>
      </c>
      <c r="G361" s="32" t="s">
        <v>197</v>
      </c>
      <c r="H361" s="82">
        <v>2.1</v>
      </c>
      <c r="I361" s="33">
        <f t="shared" si="77"/>
        <v>14808.339000000002</v>
      </c>
      <c r="J361" s="82">
        <v>1.6</v>
      </c>
      <c r="K361" s="33">
        <f t="shared" si="78"/>
        <v>11282.544000000002</v>
      </c>
      <c r="L361" s="33">
        <f t="shared" si="79"/>
        <v>26090.883000000002</v>
      </c>
      <c r="M361" s="34"/>
      <c r="N361" s="99"/>
    </row>
    <row r="362" spans="1:14" ht="16.5" thickBot="1" x14ac:dyDescent="0.3">
      <c r="A362" s="35">
        <f>IF(F362&lt;&gt;"",1+MAX($A$5:A361),"")</f>
        <v>273</v>
      </c>
      <c r="B362" s="27"/>
      <c r="C362" s="28" t="s">
        <v>180</v>
      </c>
      <c r="D362" s="29">
        <v>26010.379999999997</v>
      </c>
      <c r="E362" s="30">
        <v>0.05</v>
      </c>
      <c r="F362" s="31">
        <f>D362*(1+E362)</f>
        <v>27310.898999999998</v>
      </c>
      <c r="G362" s="32" t="s">
        <v>197</v>
      </c>
      <c r="H362" s="82">
        <v>2.1</v>
      </c>
      <c r="I362" s="33">
        <f t="shared" si="77"/>
        <v>57352.887899999994</v>
      </c>
      <c r="J362" s="82">
        <v>1.6</v>
      </c>
      <c r="K362" s="33">
        <f t="shared" si="78"/>
        <v>43697.438399999999</v>
      </c>
      <c r="L362" s="33">
        <f t="shared" si="79"/>
        <v>101050.32629999999</v>
      </c>
      <c r="M362" s="34"/>
      <c r="N362" s="99"/>
    </row>
    <row r="363" spans="1:14" ht="16.5" thickBot="1" x14ac:dyDescent="0.3">
      <c r="A363" s="35">
        <f>IF(F363&lt;&gt;"",1+MAX($A$5:A362),"")</f>
        <v>274</v>
      </c>
      <c r="B363" s="27"/>
      <c r="C363" s="28" t="s">
        <v>181</v>
      </c>
      <c r="D363" s="29">
        <v>5564.25</v>
      </c>
      <c r="E363" s="30">
        <v>0.05</v>
      </c>
      <c r="F363" s="31">
        <f>D363*(1+E363)</f>
        <v>5842.4625000000005</v>
      </c>
      <c r="G363" s="32" t="s">
        <v>197</v>
      </c>
      <c r="H363" s="82">
        <v>2.1</v>
      </c>
      <c r="I363" s="33">
        <f t="shared" si="77"/>
        <v>12269.171250000001</v>
      </c>
      <c r="J363" s="82">
        <v>1.6</v>
      </c>
      <c r="K363" s="33">
        <f t="shared" si="78"/>
        <v>9347.94</v>
      </c>
      <c r="L363" s="33">
        <f t="shared" si="79"/>
        <v>21617.111250000002</v>
      </c>
      <c r="M363" s="34"/>
      <c r="N363" s="99"/>
    </row>
    <row r="364" spans="1:14" ht="16.5" thickBot="1" x14ac:dyDescent="0.3">
      <c r="A364" s="35">
        <f>IF(F364&lt;&gt;"",1+MAX($A$5:A363),"")</f>
        <v>275</v>
      </c>
      <c r="B364" s="27"/>
      <c r="C364" s="28" t="s">
        <v>182</v>
      </c>
      <c r="D364" s="29">
        <v>597.24</v>
      </c>
      <c r="E364" s="30">
        <v>0.05</v>
      </c>
      <c r="F364" s="31">
        <f>D364*(1+E364)</f>
        <v>627.10200000000009</v>
      </c>
      <c r="G364" s="32" t="s">
        <v>197</v>
      </c>
      <c r="H364" s="82">
        <v>2.1</v>
      </c>
      <c r="I364" s="33">
        <f t="shared" ref="I337:I385" si="80">H364*F364</f>
        <v>1316.9142000000002</v>
      </c>
      <c r="J364" s="82">
        <v>1.6</v>
      </c>
      <c r="K364" s="33">
        <f t="shared" ref="K337:K385" si="81">F364*J364</f>
        <v>1003.3632000000002</v>
      </c>
      <c r="L364" s="33">
        <f t="shared" ref="L337:L385" si="82">K364+I364</f>
        <v>2320.2774000000004</v>
      </c>
      <c r="M364" s="34"/>
      <c r="N364" s="99">
        <f>7.11*84</f>
        <v>597.24</v>
      </c>
    </row>
    <row r="365" spans="1:14" ht="16.5" thickBot="1" x14ac:dyDescent="0.3">
      <c r="A365" s="35">
        <f>IF(F365&lt;&gt;"",1+MAX($A$5:A364),"")</f>
        <v>276</v>
      </c>
      <c r="B365" s="27"/>
      <c r="C365" s="28" t="s">
        <v>132</v>
      </c>
      <c r="D365" s="29">
        <v>754.6</v>
      </c>
      <c r="E365" s="30">
        <v>0.05</v>
      </c>
      <c r="F365" s="31">
        <f>D365*(1+E365)</f>
        <v>792.33</v>
      </c>
      <c r="G365" s="32" t="s">
        <v>197</v>
      </c>
      <c r="H365" s="82">
        <v>2.1</v>
      </c>
      <c r="I365" s="33">
        <f t="shared" si="80"/>
        <v>1663.8930000000003</v>
      </c>
      <c r="J365" s="82">
        <v>1.6</v>
      </c>
      <c r="K365" s="33">
        <f t="shared" si="81"/>
        <v>1267.7280000000001</v>
      </c>
      <c r="L365" s="33">
        <f t="shared" si="82"/>
        <v>2931.6210000000001</v>
      </c>
      <c r="M365" s="34"/>
      <c r="N365" s="99">
        <f>9.8*77</f>
        <v>754.6</v>
      </c>
    </row>
    <row r="366" spans="1:14" ht="16.5" thickBot="1" x14ac:dyDescent="0.3">
      <c r="A366" s="35">
        <f>IF(F366&lt;&gt;"",1+MAX($A$5:A365),"")</f>
        <v>277</v>
      </c>
      <c r="B366" s="27"/>
      <c r="C366" s="28" t="s">
        <v>183</v>
      </c>
      <c r="D366" s="29">
        <v>144</v>
      </c>
      <c r="E366" s="30">
        <v>0.05</v>
      </c>
      <c r="F366" s="31">
        <f>D366*(1+E366)</f>
        <v>151.20000000000002</v>
      </c>
      <c r="G366" s="32" t="s">
        <v>197</v>
      </c>
      <c r="H366" s="82">
        <v>2.1</v>
      </c>
      <c r="I366" s="33">
        <f t="shared" si="80"/>
        <v>317.52000000000004</v>
      </c>
      <c r="J366" s="82">
        <v>1.6</v>
      </c>
      <c r="K366" s="33">
        <f t="shared" si="81"/>
        <v>241.92000000000004</v>
      </c>
      <c r="L366" s="33">
        <f t="shared" si="82"/>
        <v>559.44000000000005</v>
      </c>
      <c r="M366" s="34"/>
      <c r="N366" s="99">
        <f>18*8</f>
        <v>144</v>
      </c>
    </row>
    <row r="367" spans="1:14" ht="16.5" thickBot="1" x14ac:dyDescent="0.3">
      <c r="A367" s="35">
        <f>IF(F367&lt;&gt;"",1+MAX($A$5:A366),"")</f>
        <v>278</v>
      </c>
      <c r="B367" s="27"/>
      <c r="C367" s="28" t="s">
        <v>134</v>
      </c>
      <c r="D367" s="29">
        <v>5530</v>
      </c>
      <c r="E367" s="30">
        <v>0.05</v>
      </c>
      <c r="F367" s="31">
        <f>D367*(1+E367)</f>
        <v>5806.5</v>
      </c>
      <c r="G367" s="32" t="s">
        <v>197</v>
      </c>
      <c r="H367" s="82">
        <v>2.1</v>
      </c>
      <c r="I367" s="33">
        <f t="shared" si="80"/>
        <v>12193.65</v>
      </c>
      <c r="J367" s="82">
        <v>1.6</v>
      </c>
      <c r="K367" s="33">
        <f t="shared" si="81"/>
        <v>9290.4</v>
      </c>
      <c r="L367" s="33">
        <f t="shared" si="82"/>
        <v>21484.05</v>
      </c>
      <c r="M367" s="34"/>
      <c r="N367" s="99">
        <f>14*395</f>
        <v>5530</v>
      </c>
    </row>
    <row r="368" spans="1:14" ht="16.5" thickBot="1" x14ac:dyDescent="0.3">
      <c r="A368" s="35">
        <f>IF(F368&lt;&gt;"",1+MAX($A$5:A367),"")</f>
        <v>279</v>
      </c>
      <c r="B368" s="27"/>
      <c r="C368" s="28" t="s">
        <v>135</v>
      </c>
      <c r="D368" s="29">
        <v>320</v>
      </c>
      <c r="E368" s="30">
        <v>0.05</v>
      </c>
      <c r="F368" s="31">
        <f>D368*(1+E368)</f>
        <v>336</v>
      </c>
      <c r="G368" s="32" t="s">
        <v>197</v>
      </c>
      <c r="H368" s="82">
        <v>2.1</v>
      </c>
      <c r="I368" s="33">
        <f t="shared" si="80"/>
        <v>705.6</v>
      </c>
      <c r="J368" s="82">
        <v>1.6</v>
      </c>
      <c r="K368" s="33">
        <f t="shared" si="81"/>
        <v>537.6</v>
      </c>
      <c r="L368" s="33">
        <f t="shared" si="82"/>
        <v>1243.2</v>
      </c>
      <c r="M368" s="34"/>
      <c r="N368" s="99">
        <f>16*20</f>
        <v>320</v>
      </c>
    </row>
    <row r="369" spans="1:14" ht="16.5" thickBot="1" x14ac:dyDescent="0.3">
      <c r="A369" s="35">
        <f>IF(F369&lt;&gt;"",1+MAX($A$5:A368),"")</f>
        <v>280</v>
      </c>
      <c r="B369" s="27"/>
      <c r="C369" s="28" t="s">
        <v>136</v>
      </c>
      <c r="D369" s="29">
        <v>1045</v>
      </c>
      <c r="E369" s="30">
        <v>0.05</v>
      </c>
      <c r="F369" s="31">
        <f>D369*(1+E369)</f>
        <v>1097.25</v>
      </c>
      <c r="G369" s="32" t="s">
        <v>197</v>
      </c>
      <c r="H369" s="82">
        <v>2.1</v>
      </c>
      <c r="I369" s="33">
        <f t="shared" si="80"/>
        <v>2304.2249999999999</v>
      </c>
      <c r="J369" s="82">
        <v>1.6</v>
      </c>
      <c r="K369" s="33">
        <f t="shared" si="81"/>
        <v>1755.6000000000001</v>
      </c>
      <c r="L369" s="33">
        <f t="shared" si="82"/>
        <v>4059.8249999999998</v>
      </c>
      <c r="M369" s="34"/>
      <c r="N369" s="99">
        <f>19*55</f>
        <v>1045</v>
      </c>
    </row>
    <row r="370" spans="1:14" ht="16.5" thickBot="1" x14ac:dyDescent="0.3">
      <c r="A370" s="35">
        <f>IF(F370&lt;&gt;"",1+MAX($A$5:A369),"")</f>
        <v>281</v>
      </c>
      <c r="B370" s="27"/>
      <c r="C370" s="28" t="s">
        <v>138</v>
      </c>
      <c r="D370" s="29">
        <v>13816</v>
      </c>
      <c r="E370" s="30">
        <v>0.05</v>
      </c>
      <c r="F370" s="31">
        <f>D370*(1+E370)</f>
        <v>14506.800000000001</v>
      </c>
      <c r="G370" s="32" t="s">
        <v>197</v>
      </c>
      <c r="H370" s="82">
        <v>2.1</v>
      </c>
      <c r="I370" s="33">
        <f t="shared" si="80"/>
        <v>30464.280000000002</v>
      </c>
      <c r="J370" s="82">
        <v>1.6</v>
      </c>
      <c r="K370" s="33">
        <f t="shared" si="81"/>
        <v>23210.880000000005</v>
      </c>
      <c r="L370" s="33">
        <f t="shared" si="82"/>
        <v>53675.16</v>
      </c>
      <c r="M370" s="34"/>
      <c r="N370" s="99">
        <f>22*628</f>
        <v>13816</v>
      </c>
    </row>
    <row r="371" spans="1:14" ht="16.5" thickBot="1" x14ac:dyDescent="0.3">
      <c r="A371" s="35">
        <f>IF(F371&lt;&gt;"",1+MAX($A$5:A370),"")</f>
        <v>282</v>
      </c>
      <c r="B371" s="27"/>
      <c r="C371" s="28" t="s">
        <v>139</v>
      </c>
      <c r="D371" s="29">
        <v>5772</v>
      </c>
      <c r="E371" s="30">
        <v>0.05</v>
      </c>
      <c r="F371" s="31">
        <f>D371*(1+E371)</f>
        <v>6060.6</v>
      </c>
      <c r="G371" s="32" t="s">
        <v>197</v>
      </c>
      <c r="H371" s="82">
        <v>2.1</v>
      </c>
      <c r="I371" s="33">
        <f t="shared" si="80"/>
        <v>12727.260000000002</v>
      </c>
      <c r="J371" s="82">
        <v>1.6</v>
      </c>
      <c r="K371" s="33">
        <f t="shared" si="81"/>
        <v>9696.9600000000009</v>
      </c>
      <c r="L371" s="33">
        <f t="shared" si="82"/>
        <v>22424.22</v>
      </c>
      <c r="M371" s="34"/>
      <c r="N371" s="99">
        <f>26*222</f>
        <v>5772</v>
      </c>
    </row>
    <row r="372" spans="1:14" ht="16.5" thickBot="1" x14ac:dyDescent="0.3">
      <c r="A372" s="35">
        <f>IF(F372&lt;&gt;"",1+MAX($A$5:A371),"")</f>
        <v>283</v>
      </c>
      <c r="B372" s="27"/>
      <c r="C372" s="28" t="s">
        <v>140</v>
      </c>
      <c r="D372" s="29">
        <v>4278</v>
      </c>
      <c r="E372" s="30">
        <v>0.05</v>
      </c>
      <c r="F372" s="31">
        <f>D372*(1+E372)</f>
        <v>4491.9000000000005</v>
      </c>
      <c r="G372" s="32" t="s">
        <v>197</v>
      </c>
      <c r="H372" s="82">
        <v>2.1</v>
      </c>
      <c r="I372" s="33">
        <f t="shared" si="80"/>
        <v>9432.9900000000016</v>
      </c>
      <c r="J372" s="82">
        <v>1.6</v>
      </c>
      <c r="K372" s="33">
        <f t="shared" si="81"/>
        <v>7187.0400000000009</v>
      </c>
      <c r="L372" s="33">
        <f t="shared" si="82"/>
        <v>16620.030000000002</v>
      </c>
      <c r="M372" s="34"/>
      <c r="N372" s="99">
        <f>31*138</f>
        <v>4278</v>
      </c>
    </row>
    <row r="373" spans="1:14" ht="16.5" thickBot="1" x14ac:dyDescent="0.3">
      <c r="A373" s="35">
        <f>IF(F373&lt;&gt;"",1+MAX($A$5:A372),"")</f>
        <v>284</v>
      </c>
      <c r="B373" s="27"/>
      <c r="C373" s="28" t="s">
        <v>141</v>
      </c>
      <c r="D373" s="29">
        <v>2905</v>
      </c>
      <c r="E373" s="30">
        <v>0.05</v>
      </c>
      <c r="F373" s="31">
        <f>D373*(1+E373)</f>
        <v>3050.25</v>
      </c>
      <c r="G373" s="32" t="s">
        <v>197</v>
      </c>
      <c r="H373" s="82">
        <v>2.1</v>
      </c>
      <c r="I373" s="33">
        <f t="shared" si="80"/>
        <v>6405.5250000000005</v>
      </c>
      <c r="J373" s="82">
        <v>1.6</v>
      </c>
      <c r="K373" s="33">
        <f t="shared" si="81"/>
        <v>4880.4000000000005</v>
      </c>
      <c r="L373" s="33">
        <f t="shared" si="82"/>
        <v>11285.925000000001</v>
      </c>
      <c r="M373" s="34"/>
      <c r="N373" s="99">
        <f>35*83</f>
        <v>2905</v>
      </c>
    </row>
    <row r="374" spans="1:14" ht="16.5" thickBot="1" x14ac:dyDescent="0.3">
      <c r="A374" s="35">
        <f>IF(F374&lt;&gt;"",1+MAX($A$5:A373),"")</f>
        <v>285</v>
      </c>
      <c r="B374" s="27"/>
      <c r="C374" s="28" t="s">
        <v>142</v>
      </c>
      <c r="D374" s="29">
        <v>2920</v>
      </c>
      <c r="E374" s="30">
        <v>0.05</v>
      </c>
      <c r="F374" s="31">
        <f>D374*(1+E374)</f>
        <v>3066</v>
      </c>
      <c r="G374" s="32" t="s">
        <v>197</v>
      </c>
      <c r="H374" s="82">
        <v>2.1</v>
      </c>
      <c r="I374" s="33">
        <f t="shared" si="80"/>
        <v>6438.6</v>
      </c>
      <c r="J374" s="82">
        <v>1.6</v>
      </c>
      <c r="K374" s="33">
        <f t="shared" si="81"/>
        <v>4905.6000000000004</v>
      </c>
      <c r="L374" s="33">
        <f t="shared" si="82"/>
        <v>11344.2</v>
      </c>
      <c r="M374" s="34"/>
      <c r="N374" s="99">
        <f>40*73</f>
        <v>2920</v>
      </c>
    </row>
    <row r="375" spans="1:14" ht="16.5" thickBot="1" x14ac:dyDescent="0.3">
      <c r="A375" s="35">
        <f>IF(F375&lt;&gt;"",1+MAX($A$5:A374),"")</f>
        <v>286</v>
      </c>
      <c r="B375" s="27"/>
      <c r="C375" s="28" t="s">
        <v>144</v>
      </c>
      <c r="D375" s="29">
        <v>6644</v>
      </c>
      <c r="E375" s="30">
        <v>0.05</v>
      </c>
      <c r="F375" s="31">
        <f>D375*(1+E375)</f>
        <v>6976.2000000000007</v>
      </c>
      <c r="G375" s="32" t="s">
        <v>197</v>
      </c>
      <c r="H375" s="82">
        <v>2.1</v>
      </c>
      <c r="I375" s="33">
        <f t="shared" si="80"/>
        <v>14650.020000000002</v>
      </c>
      <c r="J375" s="82">
        <v>1.6</v>
      </c>
      <c r="K375" s="33">
        <f t="shared" si="81"/>
        <v>11161.920000000002</v>
      </c>
      <c r="L375" s="33">
        <f t="shared" si="82"/>
        <v>25811.940000000002</v>
      </c>
      <c r="M375" s="34"/>
      <c r="N375" s="99">
        <f>44*151</f>
        <v>6644</v>
      </c>
    </row>
    <row r="376" spans="1:14" ht="16.5" thickBot="1" x14ac:dyDescent="0.3">
      <c r="A376" s="35">
        <f>IF(F376&lt;&gt;"",1+MAX($A$5:A375),"")</f>
        <v>287</v>
      </c>
      <c r="B376" s="27"/>
      <c r="C376" s="28" t="s">
        <v>145</v>
      </c>
      <c r="D376" s="29">
        <v>8640</v>
      </c>
      <c r="E376" s="30">
        <v>0.05</v>
      </c>
      <c r="F376" s="31">
        <f>D376*(1+E376)</f>
        <v>9072</v>
      </c>
      <c r="G376" s="32" t="s">
        <v>197</v>
      </c>
      <c r="H376" s="82">
        <v>2.1</v>
      </c>
      <c r="I376" s="33">
        <f t="shared" si="80"/>
        <v>19051.2</v>
      </c>
      <c r="J376" s="82">
        <v>1.6</v>
      </c>
      <c r="K376" s="33">
        <f t="shared" si="81"/>
        <v>14515.2</v>
      </c>
      <c r="L376" s="33">
        <f t="shared" si="82"/>
        <v>33566.400000000001</v>
      </c>
      <c r="M376" s="34"/>
      <c r="N376" s="99">
        <f>48*180</f>
        <v>8640</v>
      </c>
    </row>
    <row r="377" spans="1:14" ht="16.5" thickBot="1" x14ac:dyDescent="0.3">
      <c r="A377" s="35">
        <f>IF(F377&lt;&gt;"",1+MAX($A$5:A376),"")</f>
        <v>288</v>
      </c>
      <c r="B377" s="27"/>
      <c r="C377" s="28" t="s">
        <v>147</v>
      </c>
      <c r="D377" s="29">
        <v>18535</v>
      </c>
      <c r="E377" s="30">
        <v>0.05</v>
      </c>
      <c r="F377" s="31">
        <f>D377*(1+E377)</f>
        <v>19461.75</v>
      </c>
      <c r="G377" s="32" t="s">
        <v>197</v>
      </c>
      <c r="H377" s="82">
        <v>2.1</v>
      </c>
      <c r="I377" s="33">
        <f t="shared" si="80"/>
        <v>40869.675000000003</v>
      </c>
      <c r="J377" s="82">
        <v>1.6</v>
      </c>
      <c r="K377" s="33">
        <f t="shared" si="81"/>
        <v>31138.800000000003</v>
      </c>
      <c r="L377" s="33">
        <f t="shared" si="82"/>
        <v>72008.475000000006</v>
      </c>
      <c r="M377" s="34"/>
      <c r="N377" s="99">
        <f>55*337</f>
        <v>18535</v>
      </c>
    </row>
    <row r="378" spans="1:14" ht="16.5" thickBot="1" x14ac:dyDescent="0.3">
      <c r="A378" s="35">
        <f>IF(F378&lt;&gt;"",1+MAX($A$5:A377),"")</f>
        <v>289</v>
      </c>
      <c r="B378" s="27"/>
      <c r="C378" s="28" t="s">
        <v>149</v>
      </c>
      <c r="D378" s="29">
        <v>5766</v>
      </c>
      <c r="E378" s="30">
        <v>0.05</v>
      </c>
      <c r="F378" s="31">
        <f>D378*(1+E378)</f>
        <v>6054.3</v>
      </c>
      <c r="G378" s="32" t="s">
        <v>197</v>
      </c>
      <c r="H378" s="82">
        <v>2.1</v>
      </c>
      <c r="I378" s="33">
        <f t="shared" si="80"/>
        <v>12714.03</v>
      </c>
      <c r="J378" s="82">
        <v>1.6</v>
      </c>
      <c r="K378" s="33">
        <f t="shared" si="81"/>
        <v>9686.880000000001</v>
      </c>
      <c r="L378" s="33">
        <f t="shared" si="82"/>
        <v>22400.910000000003</v>
      </c>
      <c r="M378" s="34"/>
      <c r="N378" s="99">
        <f>62*93</f>
        <v>5766</v>
      </c>
    </row>
    <row r="379" spans="1:14" ht="16.5" thickBot="1" x14ac:dyDescent="0.3">
      <c r="A379" s="35">
        <f>IF(F379&lt;&gt;"",1+MAX($A$5:A378),"")</f>
        <v>290</v>
      </c>
      <c r="B379" s="27"/>
      <c r="C379" s="28" t="s">
        <v>150</v>
      </c>
      <c r="D379" s="29">
        <v>6732</v>
      </c>
      <c r="E379" s="30">
        <v>0.05</v>
      </c>
      <c r="F379" s="31">
        <f>D379*(1+E379)</f>
        <v>7068.6</v>
      </c>
      <c r="G379" s="32" t="s">
        <v>197</v>
      </c>
      <c r="H379" s="82">
        <v>2.1</v>
      </c>
      <c r="I379" s="33">
        <f t="shared" si="80"/>
        <v>14844.060000000001</v>
      </c>
      <c r="J379" s="82">
        <v>1.6</v>
      </c>
      <c r="K379" s="33">
        <f t="shared" si="81"/>
        <v>11309.760000000002</v>
      </c>
      <c r="L379" s="33">
        <f t="shared" si="82"/>
        <v>26153.820000000003</v>
      </c>
      <c r="M379" s="34"/>
      <c r="N379" s="99">
        <f>68*99</f>
        <v>6732</v>
      </c>
    </row>
    <row r="380" spans="1:14" ht="16.5" thickBot="1" x14ac:dyDescent="0.3">
      <c r="A380" s="35">
        <f>IF(F380&lt;&gt;"",1+MAX($A$5:A379),"")</f>
        <v>291</v>
      </c>
      <c r="B380" s="27"/>
      <c r="C380" s="28" t="s">
        <v>184</v>
      </c>
      <c r="D380" s="29">
        <v>11256</v>
      </c>
      <c r="E380" s="30">
        <v>0.05</v>
      </c>
      <c r="F380" s="31">
        <f>D380*(1+E380)</f>
        <v>11818.800000000001</v>
      </c>
      <c r="G380" s="32" t="s">
        <v>197</v>
      </c>
      <c r="H380" s="82">
        <v>2.1</v>
      </c>
      <c r="I380" s="33">
        <f t="shared" si="80"/>
        <v>24819.480000000003</v>
      </c>
      <c r="J380" s="82">
        <v>1.6</v>
      </c>
      <c r="K380" s="33">
        <f t="shared" si="81"/>
        <v>18910.080000000002</v>
      </c>
      <c r="L380" s="33">
        <f t="shared" si="82"/>
        <v>43729.560000000005</v>
      </c>
      <c r="M380" s="34"/>
      <c r="N380" s="99">
        <f>84*134</f>
        <v>11256</v>
      </c>
    </row>
    <row r="381" spans="1:14" ht="16.5" thickBot="1" x14ac:dyDescent="0.3">
      <c r="A381" s="35">
        <f>IF(F381&lt;&gt;"",1+MAX($A$5:A380),"")</f>
        <v>292</v>
      </c>
      <c r="B381" s="27"/>
      <c r="C381" s="28" t="s">
        <v>185</v>
      </c>
      <c r="D381" s="29">
        <v>20790</v>
      </c>
      <c r="E381" s="30">
        <v>0.05</v>
      </c>
      <c r="F381" s="31">
        <f>D381*(1+E381)</f>
        <v>21829.5</v>
      </c>
      <c r="G381" s="32" t="s">
        <v>197</v>
      </c>
      <c r="H381" s="82">
        <v>2.1</v>
      </c>
      <c r="I381" s="33">
        <f t="shared" si="80"/>
        <v>45841.950000000004</v>
      </c>
      <c r="J381" s="82">
        <v>1.6</v>
      </c>
      <c r="K381" s="33">
        <f t="shared" si="81"/>
        <v>34927.200000000004</v>
      </c>
      <c r="L381" s="33">
        <f t="shared" si="82"/>
        <v>80769.150000000009</v>
      </c>
      <c r="M381" s="34"/>
      <c r="N381" s="99">
        <f>90*231</f>
        <v>20790</v>
      </c>
    </row>
    <row r="382" spans="1:14" ht="16.5" thickBot="1" x14ac:dyDescent="0.3">
      <c r="A382" s="35">
        <f>IF(F382&lt;&gt;"",1+MAX($A$5:A381),"")</f>
        <v>293</v>
      </c>
      <c r="B382" s="27"/>
      <c r="C382" s="28" t="s">
        <v>153</v>
      </c>
      <c r="D382" s="29">
        <v>5643</v>
      </c>
      <c r="E382" s="30">
        <v>0.05</v>
      </c>
      <c r="F382" s="31">
        <f>D382*(1+E382)</f>
        <v>5925.1500000000005</v>
      </c>
      <c r="G382" s="32" t="s">
        <v>197</v>
      </c>
      <c r="H382" s="82">
        <v>2.1</v>
      </c>
      <c r="I382" s="33">
        <f t="shared" si="80"/>
        <v>12442.815000000002</v>
      </c>
      <c r="J382" s="82">
        <v>1.6</v>
      </c>
      <c r="K382" s="33">
        <f t="shared" si="81"/>
        <v>9480.2400000000016</v>
      </c>
      <c r="L382" s="33">
        <f t="shared" si="82"/>
        <v>21923.055000000004</v>
      </c>
      <c r="M382" s="34"/>
      <c r="N382" s="99">
        <f>99*57</f>
        <v>5643</v>
      </c>
    </row>
    <row r="383" spans="1:14" ht="16.5" thickBot="1" x14ac:dyDescent="0.3">
      <c r="A383" s="35">
        <f>IF(F383&lt;&gt;"",1+MAX($A$5:A382),"")</f>
        <v>294</v>
      </c>
      <c r="B383" s="27"/>
      <c r="C383" s="28" t="s">
        <v>186</v>
      </c>
      <c r="D383" s="29">
        <v>6018</v>
      </c>
      <c r="E383" s="30">
        <v>0.05</v>
      </c>
      <c r="F383" s="31">
        <f>D383*(1+E383)</f>
        <v>6318.9000000000005</v>
      </c>
      <c r="G383" s="32" t="s">
        <v>197</v>
      </c>
      <c r="H383" s="82">
        <v>2.1</v>
      </c>
      <c r="I383" s="33">
        <f t="shared" si="80"/>
        <v>13269.690000000002</v>
      </c>
      <c r="J383" s="82">
        <v>1.6</v>
      </c>
      <c r="K383" s="33">
        <f t="shared" si="81"/>
        <v>10110.240000000002</v>
      </c>
      <c r="L383" s="33">
        <f t="shared" si="82"/>
        <v>23379.930000000004</v>
      </c>
      <c r="M383" s="34"/>
      <c r="N383" s="99">
        <f>118*51</f>
        <v>6018</v>
      </c>
    </row>
    <row r="384" spans="1:14" ht="16.5" thickBot="1" x14ac:dyDescent="0.3">
      <c r="A384" s="35">
        <f>IF(F384&lt;&gt;"",1+MAX($A$5:A383),"")</f>
        <v>295</v>
      </c>
      <c r="B384" s="27"/>
      <c r="C384" s="28" t="s">
        <v>187</v>
      </c>
      <c r="D384" s="29">
        <v>747.64</v>
      </c>
      <c r="E384" s="30">
        <v>0.05</v>
      </c>
      <c r="F384" s="31">
        <f>D384*(1+E384)</f>
        <v>785.02200000000005</v>
      </c>
      <c r="G384" s="32" t="s">
        <v>55</v>
      </c>
      <c r="H384" s="82">
        <v>2.1</v>
      </c>
      <c r="I384" s="33">
        <f>H384*F384</f>
        <v>1648.5462000000002</v>
      </c>
      <c r="J384" s="82">
        <v>2.8</v>
      </c>
      <c r="K384" s="33">
        <f>F384*J384</f>
        <v>2198.0616</v>
      </c>
      <c r="L384" s="33">
        <f>K384+I384</f>
        <v>3846.6078000000002</v>
      </c>
      <c r="M384" s="34"/>
      <c r="N384" s="99"/>
    </row>
    <row r="385" spans="1:14" ht="16.5" thickBot="1" x14ac:dyDescent="0.3">
      <c r="A385" s="35">
        <f>IF(F385&lt;&gt;"",1+MAX($A$5:A384),"")</f>
        <v>296</v>
      </c>
      <c r="B385" s="27"/>
      <c r="C385" s="28" t="s">
        <v>188</v>
      </c>
      <c r="D385" s="29">
        <f>1.9*42709.35</f>
        <v>81147.764999999999</v>
      </c>
      <c r="E385" s="30">
        <v>0.05</v>
      </c>
      <c r="F385" s="31">
        <f>D385*(1+E385)</f>
        <v>85205.153250000003</v>
      </c>
      <c r="G385" s="32" t="s">
        <v>197</v>
      </c>
      <c r="H385" s="82">
        <v>2.1</v>
      </c>
      <c r="I385" s="33">
        <f t="shared" ref="I385" si="83">H385*F385</f>
        <v>178930.82182500002</v>
      </c>
      <c r="J385" s="82">
        <v>1.6</v>
      </c>
      <c r="K385" s="33">
        <f t="shared" ref="K385" si="84">F385*J385</f>
        <v>136328.2452</v>
      </c>
      <c r="L385" s="33">
        <f t="shared" ref="L385" si="85">K385+I385</f>
        <v>315259.067025</v>
      </c>
      <c r="M385" s="34"/>
      <c r="N385" s="99"/>
    </row>
    <row r="386" spans="1:14" ht="16.5" thickBot="1" x14ac:dyDescent="0.3">
      <c r="A386" s="35" t="str">
        <f>IF(F386&lt;&gt;"",1+MAX($A$5:A385),"")</f>
        <v/>
      </c>
      <c r="B386" s="27"/>
      <c r="C386" s="28"/>
      <c r="D386" s="29"/>
      <c r="E386" s="30"/>
      <c r="F386" s="31"/>
      <c r="G386" s="32"/>
      <c r="H386" s="82"/>
      <c r="I386" s="33"/>
      <c r="J386" s="82"/>
      <c r="K386" s="33"/>
      <c r="L386" s="33"/>
      <c r="M386" s="34"/>
      <c r="N386" s="99"/>
    </row>
    <row r="387" spans="1:14" ht="16.5" thickBot="1" x14ac:dyDescent="0.3">
      <c r="A387" s="35" t="str">
        <f>IF(F387&lt;&gt;"",1+MAX($A$5:A386),"")</f>
        <v/>
      </c>
      <c r="B387" s="27"/>
      <c r="C387" s="83" t="s">
        <v>75</v>
      </c>
      <c r="D387" s="29"/>
      <c r="E387" s="30"/>
      <c r="F387" s="31"/>
      <c r="G387" s="32"/>
      <c r="H387" s="82"/>
      <c r="I387" s="33"/>
      <c r="J387" s="82"/>
      <c r="K387" s="33"/>
      <c r="L387" s="33"/>
      <c r="M387" s="34"/>
      <c r="N387" s="99"/>
    </row>
    <row r="388" spans="1:14" ht="16.5" thickBot="1" x14ac:dyDescent="0.3">
      <c r="A388" s="35" t="str">
        <f>IF(F388&lt;&gt;"",1+MAX($A$5:A387),"")</f>
        <v/>
      </c>
      <c r="B388" s="27"/>
      <c r="C388" s="28"/>
      <c r="D388" s="29"/>
      <c r="E388" s="30"/>
      <c r="F388" s="31"/>
      <c r="G388" s="32"/>
      <c r="H388" s="82"/>
      <c r="I388" s="33"/>
      <c r="J388" s="82"/>
      <c r="K388" s="33"/>
      <c r="L388" s="33"/>
      <c r="M388" s="34"/>
      <c r="N388" s="99"/>
    </row>
    <row r="389" spans="1:14" ht="16.5" thickBot="1" x14ac:dyDescent="0.3">
      <c r="A389" s="35" t="str">
        <f>IF(F389&lt;&gt;"",1+MAX($A$5:A388),"")</f>
        <v/>
      </c>
      <c r="B389" s="27"/>
      <c r="C389" s="81" t="s">
        <v>156</v>
      </c>
      <c r="D389" s="29"/>
      <c r="E389" s="30"/>
      <c r="F389" s="31"/>
      <c r="G389" s="32"/>
      <c r="H389" s="82"/>
      <c r="I389" s="33"/>
      <c r="J389" s="82"/>
      <c r="K389" s="33"/>
      <c r="L389" s="33"/>
      <c r="M389" s="34"/>
      <c r="N389" s="99"/>
    </row>
    <row r="390" spans="1:14" ht="16.5" thickBot="1" x14ac:dyDescent="0.3">
      <c r="A390" s="35">
        <f>IF(F390&lt;&gt;"",1+MAX($A$5:A389),"")</f>
        <v>297</v>
      </c>
      <c r="B390" s="27"/>
      <c r="C390" s="28" t="s">
        <v>189</v>
      </c>
      <c r="D390" s="29">
        <v>10</v>
      </c>
      <c r="E390" s="30">
        <v>0</v>
      </c>
      <c r="F390" s="31">
        <f>D390*(1+E390)</f>
        <v>10</v>
      </c>
      <c r="G390" s="32" t="s">
        <v>45</v>
      </c>
      <c r="H390" s="82">
        <v>75</v>
      </c>
      <c r="I390" s="33">
        <f t="shared" ref="I390:I395" si="86">H390*F390</f>
        <v>750</v>
      </c>
      <c r="J390" s="82">
        <v>115</v>
      </c>
      <c r="K390" s="33">
        <f t="shared" ref="K390:K395" si="87">F390*J390</f>
        <v>1150</v>
      </c>
      <c r="L390" s="33">
        <f t="shared" ref="L390:L395" si="88">K390+I390</f>
        <v>1900</v>
      </c>
      <c r="M390" s="34"/>
      <c r="N390" s="99"/>
    </row>
    <row r="391" spans="1:14" ht="16.5" thickBot="1" x14ac:dyDescent="0.3">
      <c r="A391" s="35">
        <f>IF(F391&lt;&gt;"",1+MAX($A$5:A390),"")</f>
        <v>298</v>
      </c>
      <c r="B391" s="27"/>
      <c r="C391" s="28" t="s">
        <v>190</v>
      </c>
      <c r="D391" s="29">
        <f>19*7.7</f>
        <v>146.30000000000001</v>
      </c>
      <c r="E391" s="30">
        <v>0.05</v>
      </c>
      <c r="F391" s="31">
        <f>D391*(1+E391)</f>
        <v>153.61500000000001</v>
      </c>
      <c r="G391" s="32" t="s">
        <v>197</v>
      </c>
      <c r="H391" s="82">
        <v>2.1</v>
      </c>
      <c r="I391" s="33">
        <f t="shared" si="86"/>
        <v>322.59150000000005</v>
      </c>
      <c r="J391" s="82">
        <v>1.6</v>
      </c>
      <c r="K391" s="33">
        <f t="shared" si="87"/>
        <v>245.78400000000002</v>
      </c>
      <c r="L391" s="33">
        <f t="shared" si="88"/>
        <v>568.3755000000001</v>
      </c>
      <c r="M391" s="34"/>
      <c r="N391" s="99"/>
    </row>
    <row r="392" spans="1:14" ht="29.25" thickBot="1" x14ac:dyDescent="0.3">
      <c r="A392" s="35">
        <f>IF(F392&lt;&gt;"",1+MAX($A$5:A391),"")</f>
        <v>299</v>
      </c>
      <c r="B392" s="27"/>
      <c r="C392" s="28" t="s">
        <v>191</v>
      </c>
      <c r="D392" s="29">
        <f>13.28*18</f>
        <v>239.04</v>
      </c>
      <c r="E392" s="30">
        <v>0.05</v>
      </c>
      <c r="F392" s="31">
        <f>D392*(1+E392)</f>
        <v>250.99199999999999</v>
      </c>
      <c r="G392" s="32" t="s">
        <v>197</v>
      </c>
      <c r="H392" s="82">
        <v>2.1</v>
      </c>
      <c r="I392" s="33">
        <f t="shared" ref="I392" si="89">H392*F392</f>
        <v>527.08320000000003</v>
      </c>
      <c r="J392" s="82">
        <v>1.6</v>
      </c>
      <c r="K392" s="33">
        <f t="shared" ref="K392" si="90">F392*J392</f>
        <v>401.5872</v>
      </c>
      <c r="L392" s="33">
        <f t="shared" ref="L392" si="91">K392+I392</f>
        <v>928.67039999999997</v>
      </c>
      <c r="M392" s="34"/>
      <c r="N392" s="99"/>
    </row>
    <row r="393" spans="1:14" ht="29.25" thickBot="1" x14ac:dyDescent="0.3">
      <c r="A393" s="35">
        <f>IF(F393&lt;&gt;"",1+MAX($A$5:A392),"")</f>
        <v>300</v>
      </c>
      <c r="B393" s="27"/>
      <c r="C393" s="28" t="s">
        <v>192</v>
      </c>
      <c r="D393" s="29">
        <f>94*26</f>
        <v>2444</v>
      </c>
      <c r="E393" s="30">
        <v>0.05</v>
      </c>
      <c r="F393" s="31">
        <f>D393*(1+E393)</f>
        <v>2566.2000000000003</v>
      </c>
      <c r="G393" s="32" t="s">
        <v>197</v>
      </c>
      <c r="H393" s="82">
        <v>2.1</v>
      </c>
      <c r="I393" s="33">
        <f t="shared" ref="I393" si="92">H393*F393</f>
        <v>5389.02</v>
      </c>
      <c r="J393" s="82">
        <v>1.6</v>
      </c>
      <c r="K393" s="33">
        <f t="shared" ref="K393" si="93">F393*J393</f>
        <v>4105.920000000001</v>
      </c>
      <c r="L393" s="33">
        <f t="shared" ref="L393" si="94">K393+I393</f>
        <v>9494.9400000000023</v>
      </c>
      <c r="M393" s="34"/>
      <c r="N393" s="99"/>
    </row>
    <row r="394" spans="1:14" ht="16.5" thickBot="1" x14ac:dyDescent="0.3">
      <c r="A394" s="35">
        <f>IF(F394&lt;&gt;"",1+MAX($A$5:A393),"")</f>
        <v>301</v>
      </c>
      <c r="B394" s="27"/>
      <c r="C394" s="28" t="s">
        <v>193</v>
      </c>
      <c r="D394" s="29">
        <v>1005.67</v>
      </c>
      <c r="E394" s="30">
        <v>0.05</v>
      </c>
      <c r="F394" s="31">
        <f>D394*(1+E394)</f>
        <v>1055.9535000000001</v>
      </c>
      <c r="G394" s="32" t="s">
        <v>54</v>
      </c>
      <c r="H394" s="82">
        <v>4.0999999999999996</v>
      </c>
      <c r="I394" s="33">
        <f t="shared" si="86"/>
        <v>4329.4093499999999</v>
      </c>
      <c r="J394" s="82">
        <v>5.5</v>
      </c>
      <c r="K394" s="33">
        <f t="shared" si="87"/>
        <v>5807.7442500000006</v>
      </c>
      <c r="L394" s="33">
        <f t="shared" si="88"/>
        <v>10137.153600000001</v>
      </c>
      <c r="M394" s="34"/>
      <c r="N394" s="99"/>
    </row>
    <row r="395" spans="1:14" ht="16.5" thickBot="1" x14ac:dyDescent="0.3">
      <c r="A395" s="35">
        <f>IF(F395&lt;&gt;"",1+MAX($A$5:A394),"")</f>
        <v>302</v>
      </c>
      <c r="B395" s="27"/>
      <c r="C395" s="28" t="s">
        <v>194</v>
      </c>
      <c r="D395" s="29">
        <v>3880.82</v>
      </c>
      <c r="E395" s="30">
        <v>0.05</v>
      </c>
      <c r="F395" s="31">
        <f>D395*(1+E395)</f>
        <v>4074.8610000000003</v>
      </c>
      <c r="G395" s="32" t="s">
        <v>54</v>
      </c>
      <c r="H395" s="82">
        <v>4.0999999999999996</v>
      </c>
      <c r="I395" s="33">
        <f t="shared" si="86"/>
        <v>16706.930100000001</v>
      </c>
      <c r="J395" s="82">
        <v>5.5</v>
      </c>
      <c r="K395" s="33">
        <f t="shared" si="87"/>
        <v>22411.735500000003</v>
      </c>
      <c r="L395" s="33">
        <f t="shared" si="88"/>
        <v>39118.665600000008</v>
      </c>
      <c r="M395" s="34"/>
      <c r="N395" s="99"/>
    </row>
    <row r="396" spans="1:14" ht="16.5" thickBot="1" x14ac:dyDescent="0.3">
      <c r="A396" s="35" t="str">
        <f>IF(F396&lt;&gt;"",1+MAX($A$5:A395),"")</f>
        <v/>
      </c>
      <c r="B396" s="27"/>
      <c r="C396" s="28"/>
      <c r="D396" s="29"/>
      <c r="E396" s="30"/>
      <c r="F396" s="31"/>
      <c r="G396" s="32"/>
      <c r="H396" s="69"/>
      <c r="I396" s="33"/>
      <c r="J396" s="69"/>
      <c r="K396" s="33"/>
      <c r="L396" s="33"/>
      <c r="M396" s="34"/>
      <c r="N396" s="99"/>
    </row>
    <row r="397" spans="1:14" ht="16.5" thickBot="1" x14ac:dyDescent="0.3">
      <c r="A397" s="35" t="str">
        <f>IF(F397&lt;&gt;"",1+MAX($A$5:A396),"")</f>
        <v/>
      </c>
      <c r="B397" s="22" t="s">
        <v>16</v>
      </c>
      <c r="C397" s="23" t="s">
        <v>15</v>
      </c>
      <c r="D397" s="21"/>
      <c r="E397" s="24"/>
      <c r="F397" s="24"/>
      <c r="G397" s="24"/>
      <c r="H397" s="68"/>
      <c r="I397" s="24"/>
      <c r="J397" s="68"/>
      <c r="K397" s="24"/>
      <c r="L397" s="21"/>
      <c r="M397" s="25">
        <f>SUM(L398:L440)</f>
        <v>1050227.6967935299</v>
      </c>
      <c r="N397" s="99"/>
    </row>
    <row r="398" spans="1:14" ht="16.5" thickBot="1" x14ac:dyDescent="0.3">
      <c r="A398" s="35" t="str">
        <f>IF(F398&lt;&gt;"",1+MAX($A$5:A397),"")</f>
        <v/>
      </c>
      <c r="B398" s="27"/>
      <c r="C398" s="28"/>
      <c r="D398" s="29"/>
      <c r="E398" s="30"/>
      <c r="F398" s="31"/>
      <c r="G398" s="32"/>
      <c r="H398" s="69"/>
      <c r="I398" s="33"/>
      <c r="J398" s="69"/>
      <c r="K398" s="33"/>
      <c r="L398" s="33"/>
      <c r="M398" s="34"/>
      <c r="N398" s="99"/>
    </row>
    <row r="399" spans="1:14" ht="16.5" thickBot="1" x14ac:dyDescent="0.3">
      <c r="A399" s="35" t="str">
        <f>IF(F399&lt;&gt;"",1+MAX($A$5:A398),"")</f>
        <v/>
      </c>
      <c r="B399" s="93" t="s">
        <v>43</v>
      </c>
      <c r="C399" s="94" t="s">
        <v>43</v>
      </c>
      <c r="D399" s="29"/>
      <c r="E399" s="30"/>
      <c r="F399" s="31"/>
      <c r="G399" s="32"/>
      <c r="H399" s="69"/>
      <c r="I399" s="33"/>
      <c r="J399" s="69"/>
      <c r="K399" s="33"/>
      <c r="L399" s="33"/>
      <c r="M399" s="34"/>
      <c r="N399" s="99"/>
    </row>
    <row r="400" spans="1:14" ht="16.5" thickBot="1" x14ac:dyDescent="0.3">
      <c r="A400" s="35" t="str">
        <f>IF(F400&lt;&gt;"",1+MAX($A$5:A399),"")</f>
        <v/>
      </c>
      <c r="B400" s="27"/>
      <c r="C400" s="28"/>
      <c r="D400" s="29"/>
      <c r="E400" s="30"/>
      <c r="F400" s="31"/>
      <c r="G400" s="32"/>
      <c r="H400" s="69"/>
      <c r="I400" s="33"/>
      <c r="J400" s="69"/>
      <c r="K400" s="33"/>
      <c r="L400" s="33"/>
      <c r="M400" s="34"/>
      <c r="N400" s="99"/>
    </row>
    <row r="401" spans="1:14" ht="16.5" thickBot="1" x14ac:dyDescent="0.3">
      <c r="A401" s="35" t="str">
        <f>IF(F401&lt;&gt;"",1+MAX($A$5:A400),"")</f>
        <v/>
      </c>
      <c r="B401" s="27"/>
      <c r="C401" s="62" t="s">
        <v>78</v>
      </c>
      <c r="D401" s="29"/>
      <c r="E401" s="30"/>
      <c r="F401" s="31"/>
      <c r="G401" s="32"/>
      <c r="H401" s="69"/>
      <c r="I401" s="33"/>
      <c r="J401" s="69"/>
      <c r="K401" s="33"/>
      <c r="L401" s="33"/>
      <c r="M401" s="34"/>
      <c r="N401" s="99"/>
    </row>
    <row r="402" spans="1:14" ht="16.5" thickBot="1" x14ac:dyDescent="0.3">
      <c r="A402" s="35" t="str">
        <f>IF(F402&lt;&gt;"",1+MAX($A$5:A401),"")</f>
        <v/>
      </c>
      <c r="B402" s="27"/>
      <c r="C402" s="28"/>
      <c r="D402" s="29"/>
      <c r="E402" s="30"/>
      <c r="F402" s="31"/>
      <c r="G402" s="32"/>
      <c r="H402" s="69"/>
      <c r="I402" s="33"/>
      <c r="J402" s="69"/>
      <c r="K402" s="33"/>
      <c r="L402" s="33"/>
      <c r="M402" s="34"/>
      <c r="N402" s="99"/>
    </row>
    <row r="403" spans="1:14" ht="16.5" thickBot="1" x14ac:dyDescent="0.3">
      <c r="A403" s="35">
        <f>IF(F403&lt;&gt;"",1+MAX($A$5:A402),"")</f>
        <v>303</v>
      </c>
      <c r="B403" s="27"/>
      <c r="C403" s="28" t="s">
        <v>67</v>
      </c>
      <c r="D403" s="29">
        <v>1075.06</v>
      </c>
      <c r="E403" s="30">
        <v>0.05</v>
      </c>
      <c r="F403" s="31">
        <f>D403*(1+E403)</f>
        <v>1128.8130000000001</v>
      </c>
      <c r="G403" s="32" t="s">
        <v>54</v>
      </c>
      <c r="H403" s="69">
        <v>16</v>
      </c>
      <c r="I403" s="33">
        <f t="shared" ref="I403:I409" si="95">H403*F403</f>
        <v>18061.008000000002</v>
      </c>
      <c r="J403" s="69">
        <v>18.100000000000001</v>
      </c>
      <c r="K403" s="33">
        <f t="shared" ref="K403:K409" si="96">F403*J403</f>
        <v>20431.515300000003</v>
      </c>
      <c r="L403" s="33">
        <f t="shared" ref="L403:L409" si="97">K403+I403</f>
        <v>38492.523300000001</v>
      </c>
      <c r="M403" s="34"/>
      <c r="N403" s="99"/>
    </row>
    <row r="404" spans="1:14" ht="48" thickBot="1" x14ac:dyDescent="0.3">
      <c r="A404" s="35">
        <f>IF(F404&lt;&gt;"",1+MAX($A$5:A403),"")</f>
        <v>304</v>
      </c>
      <c r="B404" s="63" t="s">
        <v>108</v>
      </c>
      <c r="C404" s="28" t="s">
        <v>68</v>
      </c>
      <c r="D404" s="29">
        <v>22504</v>
      </c>
      <c r="E404" s="30">
        <v>0.05</v>
      </c>
      <c r="F404" s="31">
        <f>D404*(1+E404)</f>
        <v>23629.200000000001</v>
      </c>
      <c r="G404" s="32" t="s">
        <v>54</v>
      </c>
      <c r="H404" s="69">
        <v>4.5999999999999996</v>
      </c>
      <c r="I404" s="33">
        <f t="shared" si="95"/>
        <v>108694.31999999999</v>
      </c>
      <c r="J404" s="69">
        <v>4.8</v>
      </c>
      <c r="K404" s="33">
        <f t="shared" si="96"/>
        <v>113420.16</v>
      </c>
      <c r="L404" s="33">
        <f t="shared" si="97"/>
        <v>222114.47999999998</v>
      </c>
      <c r="M404" s="34"/>
      <c r="N404" s="99"/>
    </row>
    <row r="405" spans="1:14" ht="16.5" thickBot="1" x14ac:dyDescent="0.3">
      <c r="A405" s="35">
        <f>IF(F405&lt;&gt;"",1+MAX($A$5:A404),"")</f>
        <v>305</v>
      </c>
      <c r="B405" s="27"/>
      <c r="C405" s="28" t="s">
        <v>69</v>
      </c>
      <c r="D405" s="29">
        <v>26056.2</v>
      </c>
      <c r="E405" s="30">
        <v>0.05</v>
      </c>
      <c r="F405" s="31">
        <f>D405*(1+E405)</f>
        <v>27359.010000000002</v>
      </c>
      <c r="G405" s="32" t="s">
        <v>54</v>
      </c>
      <c r="H405" s="69">
        <v>4.5999999999999996</v>
      </c>
      <c r="I405" s="33">
        <f t="shared" si="95"/>
        <v>125851.446</v>
      </c>
      <c r="J405" s="69">
        <v>5.0999999999999996</v>
      </c>
      <c r="K405" s="33">
        <f t="shared" si="96"/>
        <v>139530.951</v>
      </c>
      <c r="L405" s="33">
        <f t="shared" si="97"/>
        <v>265382.397</v>
      </c>
      <c r="M405" s="34"/>
      <c r="N405" s="99"/>
    </row>
    <row r="406" spans="1:14" ht="16.5" thickBot="1" x14ac:dyDescent="0.3">
      <c r="A406" s="35">
        <f>IF(F406&lt;&gt;"",1+MAX($A$5:A405),"")</f>
        <v>306</v>
      </c>
      <c r="B406" s="27"/>
      <c r="C406" s="28" t="s">
        <v>70</v>
      </c>
      <c r="D406" s="29">
        <v>4848.3</v>
      </c>
      <c r="E406" s="30">
        <v>0.05</v>
      </c>
      <c r="F406" s="31">
        <f>D406*(1+E406)</f>
        <v>5090.7150000000001</v>
      </c>
      <c r="G406" s="32" t="s">
        <v>54</v>
      </c>
      <c r="H406" s="69">
        <v>16</v>
      </c>
      <c r="I406" s="33">
        <f t="shared" si="95"/>
        <v>81451.44</v>
      </c>
      <c r="J406" s="69">
        <v>19</v>
      </c>
      <c r="K406" s="33">
        <f t="shared" si="96"/>
        <v>96723.585000000006</v>
      </c>
      <c r="L406" s="33">
        <f t="shared" si="97"/>
        <v>178175.02500000002</v>
      </c>
      <c r="M406" s="34"/>
      <c r="N406" s="99"/>
    </row>
    <row r="407" spans="1:14" ht="29.25" thickBot="1" x14ac:dyDescent="0.3">
      <c r="A407" s="35">
        <f>IF(F407&lt;&gt;"",1+MAX($A$5:A406),"")</f>
        <v>307</v>
      </c>
      <c r="B407" s="27"/>
      <c r="C407" s="28" t="s">
        <v>74</v>
      </c>
      <c r="D407" s="29">
        <f>398*2</f>
        <v>796</v>
      </c>
      <c r="E407" s="30">
        <v>0.05</v>
      </c>
      <c r="F407" s="31">
        <f>D407*(1+E407)</f>
        <v>835.80000000000007</v>
      </c>
      <c r="G407" s="32" t="s">
        <v>54</v>
      </c>
      <c r="H407" s="69">
        <v>1.08</v>
      </c>
      <c r="I407" s="33">
        <f t="shared" si="95"/>
        <v>902.6640000000001</v>
      </c>
      <c r="J407" s="69">
        <v>1.33</v>
      </c>
      <c r="K407" s="33">
        <f t="shared" si="96"/>
        <v>1111.6140000000003</v>
      </c>
      <c r="L407" s="33">
        <f t="shared" si="97"/>
        <v>2014.2780000000002</v>
      </c>
      <c r="M407" s="34"/>
      <c r="N407" s="99"/>
    </row>
    <row r="408" spans="1:14" ht="16.5" thickBot="1" x14ac:dyDescent="0.3">
      <c r="A408" s="35">
        <f>IF(F408&lt;&gt;"",1+MAX($A$5:A407),"")</f>
        <v>308</v>
      </c>
      <c r="B408" s="27"/>
      <c r="C408" s="28" t="s">
        <v>44</v>
      </c>
      <c r="D408" s="29">
        <v>275.02999999999997</v>
      </c>
      <c r="E408" s="30">
        <v>0.05</v>
      </c>
      <c r="F408" s="31">
        <f>D408*(1+E408)</f>
        <v>288.78149999999999</v>
      </c>
      <c r="G408" s="32" t="s">
        <v>54</v>
      </c>
      <c r="H408" s="69">
        <v>16</v>
      </c>
      <c r="I408" s="33">
        <f>H408*F408</f>
        <v>4620.5039999999999</v>
      </c>
      <c r="J408" s="69">
        <v>18.100000000000001</v>
      </c>
      <c r="K408" s="33">
        <f>F408*J408</f>
        <v>5226.9451500000005</v>
      </c>
      <c r="L408" s="33">
        <f>K408+I408</f>
        <v>9847.4491500000004</v>
      </c>
      <c r="M408" s="34"/>
      <c r="N408" s="99"/>
    </row>
    <row r="409" spans="1:14" ht="16.5" thickBot="1" x14ac:dyDescent="0.3">
      <c r="A409" s="35">
        <f>IF(F409&lt;&gt;"",1+MAX($A$5:A408),"")</f>
        <v>309</v>
      </c>
      <c r="B409" s="27"/>
      <c r="C409" s="28" t="s">
        <v>71</v>
      </c>
      <c r="D409" s="29">
        <v>4403.1499999999996</v>
      </c>
      <c r="E409" s="30">
        <v>0.05</v>
      </c>
      <c r="F409" s="31">
        <f>D409*(1+E409)</f>
        <v>4623.3074999999999</v>
      </c>
      <c r="G409" s="32" t="s">
        <v>54</v>
      </c>
      <c r="H409" s="69">
        <v>16</v>
      </c>
      <c r="I409" s="33">
        <f t="shared" si="95"/>
        <v>73972.92</v>
      </c>
      <c r="J409" s="69">
        <v>18.5</v>
      </c>
      <c r="K409" s="33">
        <f t="shared" si="96"/>
        <v>85531.188750000001</v>
      </c>
      <c r="L409" s="33">
        <f t="shared" si="97"/>
        <v>159504.10875000001</v>
      </c>
      <c r="M409" s="34"/>
      <c r="N409" s="99"/>
    </row>
    <row r="410" spans="1:14" ht="16.5" thickBot="1" x14ac:dyDescent="0.3">
      <c r="A410" s="35">
        <f>IF(F410&lt;&gt;"",1+MAX($A$5:A409),"")</f>
        <v>310</v>
      </c>
      <c r="B410" s="27"/>
      <c r="C410" s="28" t="s">
        <v>72</v>
      </c>
      <c r="D410" s="29">
        <v>490.87</v>
      </c>
      <c r="E410" s="30">
        <v>0.05</v>
      </c>
      <c r="F410" s="31">
        <f>D410*(1+E410)</f>
        <v>515.4135</v>
      </c>
      <c r="G410" s="32" t="s">
        <v>55</v>
      </c>
      <c r="H410" s="69">
        <v>6.8</v>
      </c>
      <c r="I410" s="33">
        <f>H410*F410</f>
        <v>3504.8117999999999</v>
      </c>
      <c r="J410" s="69">
        <f>77.95/6</f>
        <v>12.991666666666667</v>
      </c>
      <c r="K410" s="33">
        <f>F410*J410</f>
        <v>6696.0803875000001</v>
      </c>
      <c r="L410" s="33">
        <f>K410+I410</f>
        <v>10200.8921875</v>
      </c>
      <c r="M410" s="34"/>
      <c r="N410" s="99"/>
    </row>
    <row r="411" spans="1:14" ht="29.25" thickBot="1" x14ac:dyDescent="0.3">
      <c r="A411" s="35">
        <f>IF(F411&lt;&gt;"",1+MAX($A$5:A410),"")</f>
        <v>311</v>
      </c>
      <c r="B411" s="27"/>
      <c r="C411" s="28" t="s">
        <v>110</v>
      </c>
      <c r="D411" s="29">
        <v>662.99</v>
      </c>
      <c r="E411" s="30">
        <v>0.05</v>
      </c>
      <c r="F411" s="31">
        <f>D411*(1+E411)</f>
        <v>696.1395</v>
      </c>
      <c r="G411" s="32" t="s">
        <v>55</v>
      </c>
      <c r="H411" s="69">
        <v>4.5999999999999996</v>
      </c>
      <c r="I411" s="33">
        <f>H411*F411</f>
        <v>3202.2416999999996</v>
      </c>
      <c r="J411" s="69">
        <v>5.2</v>
      </c>
      <c r="K411" s="33">
        <f>F411*J411</f>
        <v>3619.9254000000001</v>
      </c>
      <c r="L411" s="33">
        <f>K411+I411</f>
        <v>6822.1670999999997</v>
      </c>
      <c r="M411" s="34"/>
      <c r="N411" s="99"/>
    </row>
    <row r="412" spans="1:14" ht="16.5" thickBot="1" x14ac:dyDescent="0.3">
      <c r="A412" s="35">
        <f>IF(F412&lt;&gt;"",1+MAX($A$5:A411),"")</f>
        <v>312</v>
      </c>
      <c r="B412" s="27"/>
      <c r="C412" s="28" t="s">
        <v>73</v>
      </c>
      <c r="D412" s="29">
        <v>2</v>
      </c>
      <c r="E412" s="30">
        <v>0</v>
      </c>
      <c r="F412" s="31">
        <f>D412*(1+E412)</f>
        <v>2</v>
      </c>
      <c r="G412" s="32" t="s">
        <v>45</v>
      </c>
      <c r="H412" s="69">
        <v>250</v>
      </c>
      <c r="I412" s="33">
        <f>H412*F412</f>
        <v>500</v>
      </c>
      <c r="J412" s="69">
        <v>350</v>
      </c>
      <c r="K412" s="33">
        <f>F412*J412</f>
        <v>700</v>
      </c>
      <c r="L412" s="33">
        <f>K412+I412</f>
        <v>1200</v>
      </c>
      <c r="M412" s="34"/>
      <c r="N412" s="99"/>
    </row>
    <row r="413" spans="1:14" ht="32.25" thickBot="1" x14ac:dyDescent="0.3">
      <c r="A413" s="35">
        <f>IF(F413&lt;&gt;"",1+MAX($A$5:A412),"")</f>
        <v>313</v>
      </c>
      <c r="B413" s="63" t="s">
        <v>115</v>
      </c>
      <c r="C413" s="28" t="s">
        <v>116</v>
      </c>
      <c r="D413" s="29">
        <v>688</v>
      </c>
      <c r="E413" s="30">
        <v>0.05</v>
      </c>
      <c r="F413" s="31">
        <f>D413*(1+E413)</f>
        <v>722.4</v>
      </c>
      <c r="G413" s="32" t="s">
        <v>54</v>
      </c>
      <c r="H413" s="69">
        <v>4.5999999999999996</v>
      </c>
      <c r="I413" s="33">
        <f>H413*F413</f>
        <v>3323.0399999999995</v>
      </c>
      <c r="J413" s="69">
        <v>4.8</v>
      </c>
      <c r="K413" s="33">
        <f>F413*J413</f>
        <v>3467.52</v>
      </c>
      <c r="L413" s="33">
        <f>K413+I413</f>
        <v>6790.5599999999995</v>
      </c>
      <c r="M413" s="34"/>
      <c r="N413" s="99"/>
    </row>
    <row r="414" spans="1:14" ht="16.5" thickBot="1" x14ac:dyDescent="0.3">
      <c r="A414" s="35" t="str">
        <f>IF(F414&lt;&gt;"",1+MAX($A$5:A413),"")</f>
        <v/>
      </c>
      <c r="B414" s="27"/>
      <c r="C414" s="28"/>
      <c r="D414" s="29"/>
      <c r="E414" s="30"/>
      <c r="F414" s="31"/>
      <c r="G414" s="32"/>
      <c r="H414" s="69"/>
      <c r="I414" s="33"/>
      <c r="J414" s="69"/>
      <c r="K414" s="33"/>
      <c r="L414" s="33"/>
      <c r="M414" s="34"/>
      <c r="N414" s="99"/>
    </row>
    <row r="415" spans="1:14" ht="16.5" thickBot="1" x14ac:dyDescent="0.3">
      <c r="A415" s="35" t="str">
        <f>IF(F415&lt;&gt;"",1+MAX($A$5:A414),"")</f>
        <v/>
      </c>
      <c r="B415" s="27"/>
      <c r="C415" s="62" t="s">
        <v>75</v>
      </c>
      <c r="D415" s="29"/>
      <c r="E415" s="30"/>
      <c r="F415" s="31"/>
      <c r="G415" s="32"/>
      <c r="H415" s="69"/>
      <c r="I415" s="33"/>
      <c r="J415" s="69"/>
      <c r="K415" s="33"/>
      <c r="L415" s="33"/>
      <c r="M415" s="34"/>
      <c r="N415" s="99"/>
    </row>
    <row r="416" spans="1:14" ht="16.5" thickBot="1" x14ac:dyDescent="0.3">
      <c r="A416" s="35" t="str">
        <f>IF(F416&lt;&gt;"",1+MAX($A$5:A415),"")</f>
        <v/>
      </c>
      <c r="B416" s="27"/>
      <c r="C416" s="28"/>
      <c r="D416" s="29"/>
      <c r="E416" s="30"/>
      <c r="F416" s="31"/>
      <c r="G416" s="32"/>
      <c r="H416" s="69"/>
      <c r="I416" s="33"/>
      <c r="J416" s="69"/>
      <c r="K416" s="33"/>
      <c r="L416" s="33"/>
      <c r="M416" s="34"/>
      <c r="N416" s="99"/>
    </row>
    <row r="417" spans="1:14" ht="16.5" thickBot="1" x14ac:dyDescent="0.3">
      <c r="A417" s="35">
        <f>IF(F417&lt;&gt;"",1+MAX($A$5:A416),"")</f>
        <v>314</v>
      </c>
      <c r="B417" s="27"/>
      <c r="C417" s="28" t="s">
        <v>109</v>
      </c>
      <c r="D417" s="29">
        <v>4533</v>
      </c>
      <c r="E417" s="30">
        <v>0.05</v>
      </c>
      <c r="F417" s="31">
        <f>D417*(1+E417)</f>
        <v>4759.6500000000005</v>
      </c>
      <c r="G417" s="32" t="s">
        <v>54</v>
      </c>
      <c r="H417" s="69">
        <v>4.5999999999999996</v>
      </c>
      <c r="I417" s="33">
        <f t="shared" ref="I417" si="98">H417*F417</f>
        <v>21894.39</v>
      </c>
      <c r="J417" s="69">
        <v>5.0999999999999996</v>
      </c>
      <c r="K417" s="33">
        <f t="shared" ref="K417" si="99">F417*J417</f>
        <v>24274.215</v>
      </c>
      <c r="L417" s="33">
        <f t="shared" ref="L417" si="100">K417+I417</f>
        <v>46168.604999999996</v>
      </c>
      <c r="M417" s="34"/>
      <c r="N417" s="99"/>
    </row>
    <row r="418" spans="1:14" ht="16.5" thickBot="1" x14ac:dyDescent="0.3">
      <c r="A418" s="35">
        <f>IF(F418&lt;&gt;"",1+MAX($A$5:A417),"")</f>
        <v>315</v>
      </c>
      <c r="B418" s="27"/>
      <c r="C418" s="28" t="s">
        <v>76</v>
      </c>
      <c r="D418" s="29">
        <v>594</v>
      </c>
      <c r="E418" s="30">
        <v>0.05</v>
      </c>
      <c r="F418" s="31">
        <f>D418*(1+E418)</f>
        <v>623.70000000000005</v>
      </c>
      <c r="G418" s="32" t="s">
        <v>54</v>
      </c>
      <c r="H418" s="69">
        <v>16</v>
      </c>
      <c r="I418" s="33">
        <f t="shared" ref="I418:I419" si="101">H418*F418</f>
        <v>9979.2000000000007</v>
      </c>
      <c r="J418" s="69">
        <v>18.5</v>
      </c>
      <c r="K418" s="33">
        <f t="shared" ref="K418:K419" si="102">F418*J418</f>
        <v>11538.45</v>
      </c>
      <c r="L418" s="33">
        <f t="shared" ref="L418:L419" si="103">K418+I418</f>
        <v>21517.65</v>
      </c>
      <c r="M418" s="34"/>
      <c r="N418" s="99"/>
    </row>
    <row r="419" spans="1:14" ht="16.5" thickBot="1" x14ac:dyDescent="0.3">
      <c r="A419" s="35">
        <f>IF(F419&lt;&gt;"",1+MAX($A$5:A418),"")</f>
        <v>316</v>
      </c>
      <c r="B419" s="27"/>
      <c r="C419" s="28" t="s">
        <v>77</v>
      </c>
      <c r="D419" s="29">
        <v>1534</v>
      </c>
      <c r="E419" s="30">
        <v>0.05</v>
      </c>
      <c r="F419" s="31">
        <f>D419*(1+E419)</f>
        <v>1610.7</v>
      </c>
      <c r="G419" s="32" t="s">
        <v>54</v>
      </c>
      <c r="H419" s="69">
        <v>1.08</v>
      </c>
      <c r="I419" s="33">
        <f t="shared" si="101"/>
        <v>1739.5560000000003</v>
      </c>
      <c r="J419" s="69">
        <v>1.33</v>
      </c>
      <c r="K419" s="33">
        <f t="shared" si="102"/>
        <v>2142.2310000000002</v>
      </c>
      <c r="L419" s="33">
        <f t="shared" si="103"/>
        <v>3881.7870000000003</v>
      </c>
      <c r="M419" s="34"/>
      <c r="N419" s="99"/>
    </row>
    <row r="420" spans="1:14" ht="32.25" thickBot="1" x14ac:dyDescent="0.3">
      <c r="A420" s="35">
        <f>IF(F420&lt;&gt;"",1+MAX($A$5:A419),"")</f>
        <v>317</v>
      </c>
      <c r="B420" s="63" t="s">
        <v>115</v>
      </c>
      <c r="C420" s="28" t="s">
        <v>116</v>
      </c>
      <c r="D420" s="29">
        <v>234</v>
      </c>
      <c r="E420" s="30">
        <v>0.05</v>
      </c>
      <c r="F420" s="31">
        <f>D420*(1+E420)</f>
        <v>245.70000000000002</v>
      </c>
      <c r="G420" s="32" t="s">
        <v>54</v>
      </c>
      <c r="H420" s="69">
        <v>4.5999999999999996</v>
      </c>
      <c r="I420" s="33">
        <f>H420*F420</f>
        <v>1130.22</v>
      </c>
      <c r="J420" s="69">
        <v>4.8</v>
      </c>
      <c r="K420" s="33">
        <f>F420*J420</f>
        <v>1179.3600000000001</v>
      </c>
      <c r="L420" s="33">
        <f>K420+I420</f>
        <v>2309.58</v>
      </c>
      <c r="M420" s="34"/>
      <c r="N420" s="99"/>
    </row>
    <row r="421" spans="1:14" ht="16.5" thickBot="1" x14ac:dyDescent="0.3">
      <c r="A421" s="35" t="str">
        <f>IF(F421&lt;&gt;"",1+MAX($A$5:A420),"")</f>
        <v/>
      </c>
      <c r="B421" s="27"/>
      <c r="C421" s="28"/>
      <c r="D421" s="29"/>
      <c r="E421" s="30"/>
      <c r="F421" s="31"/>
      <c r="G421" s="32"/>
      <c r="H421" s="69"/>
      <c r="I421" s="33"/>
      <c r="J421" s="69"/>
      <c r="K421" s="33"/>
      <c r="L421" s="33"/>
      <c r="M421" s="34"/>
      <c r="N421" s="99"/>
    </row>
    <row r="422" spans="1:14" ht="16.5" thickBot="1" x14ac:dyDescent="0.3">
      <c r="A422" s="35" t="str">
        <f>IF(F422&lt;&gt;"",1+MAX($A$5:A421),"")</f>
        <v/>
      </c>
      <c r="B422" s="93" t="s">
        <v>46</v>
      </c>
      <c r="C422" s="94" t="s">
        <v>46</v>
      </c>
      <c r="D422" s="29"/>
      <c r="E422" s="30"/>
      <c r="F422" s="31"/>
      <c r="G422" s="32"/>
      <c r="H422" s="69"/>
      <c r="I422" s="33"/>
      <c r="J422" s="69"/>
      <c r="K422" s="33"/>
      <c r="L422" s="33"/>
      <c r="M422" s="34"/>
      <c r="N422" s="99"/>
    </row>
    <row r="423" spans="1:14" ht="16.5" thickBot="1" x14ac:dyDescent="0.3">
      <c r="A423" s="35" t="str">
        <f>IF(F423&lt;&gt;"",1+MAX($A$5:A422),"")</f>
        <v/>
      </c>
      <c r="B423" s="27"/>
      <c r="C423" s="28"/>
      <c r="D423" s="29"/>
      <c r="E423" s="30"/>
      <c r="F423" s="31"/>
      <c r="G423" s="32"/>
      <c r="H423" s="32"/>
      <c r="I423" s="32"/>
      <c r="J423" s="69"/>
      <c r="K423" s="33"/>
      <c r="L423" s="33"/>
      <c r="M423" s="34"/>
      <c r="N423" s="99"/>
    </row>
    <row r="424" spans="1:14" ht="16.5" thickBot="1" x14ac:dyDescent="0.3">
      <c r="A424" s="35">
        <f>IF(F424&lt;&gt;"",1+MAX($A$5:A423),"")</f>
        <v>318</v>
      </c>
      <c r="B424" s="27"/>
      <c r="C424" s="61" t="s">
        <v>120</v>
      </c>
      <c r="D424" s="29">
        <v>23569</v>
      </c>
      <c r="E424" s="30">
        <v>0.05</v>
      </c>
      <c r="F424" s="31">
        <f>D424*(1+E424)</f>
        <v>24747.45</v>
      </c>
      <c r="G424" s="32" t="s">
        <v>54</v>
      </c>
      <c r="H424" s="69">
        <v>1.8</v>
      </c>
      <c r="I424" s="33">
        <f t="shared" ref="I424" si="104">H424*F424</f>
        <v>44545.41</v>
      </c>
      <c r="J424" s="69">
        <v>0.56000000000000005</v>
      </c>
      <c r="K424" s="33">
        <f t="shared" ref="K424:K428" si="105">F424*J424</f>
        <v>13858.572000000002</v>
      </c>
      <c r="L424" s="33">
        <f t="shared" ref="L424:L428" si="106">K424+I424</f>
        <v>58403.982000000004</v>
      </c>
      <c r="M424" s="34"/>
      <c r="N424" s="99"/>
    </row>
    <row r="425" spans="1:14" ht="16.5" thickBot="1" x14ac:dyDescent="0.3">
      <c r="A425" s="35">
        <f>IF(F425&lt;&gt;"",1+MAX($A$5:A424),"")</f>
        <v>319</v>
      </c>
      <c r="B425" s="27"/>
      <c r="C425" s="28" t="s">
        <v>114</v>
      </c>
      <c r="D425" s="29">
        <f>16*D424/(32)</f>
        <v>11784.5</v>
      </c>
      <c r="E425" s="30">
        <v>0.05</v>
      </c>
      <c r="F425" s="31">
        <f>D425*(1+E425)</f>
        <v>12373.725</v>
      </c>
      <c r="G425" s="32" t="s">
        <v>55</v>
      </c>
      <c r="H425" s="79"/>
      <c r="I425" s="80"/>
      <c r="J425" s="69">
        <v>0.02</v>
      </c>
      <c r="K425" s="33">
        <f t="shared" si="105"/>
        <v>247.47450000000001</v>
      </c>
      <c r="L425" s="33">
        <f t="shared" si="106"/>
        <v>247.47450000000001</v>
      </c>
      <c r="M425" s="34"/>
      <c r="N425" s="99"/>
    </row>
    <row r="426" spans="1:14" ht="16.5" thickBot="1" x14ac:dyDescent="0.3">
      <c r="A426" s="35">
        <f>IF(F426&lt;&gt;"",1+MAX($A$5:A425),"")</f>
        <v>320</v>
      </c>
      <c r="B426" s="27"/>
      <c r="C426" s="28" t="s">
        <v>111</v>
      </c>
      <c r="D426" s="29">
        <f>D424</f>
        <v>23569</v>
      </c>
      <c r="E426" s="30">
        <v>0.05</v>
      </c>
      <c r="F426" s="31">
        <f>D426*(1+E426)</f>
        <v>24747.45</v>
      </c>
      <c r="G426" s="32" t="s">
        <v>54</v>
      </c>
      <c r="H426" s="79"/>
      <c r="I426" s="80"/>
      <c r="J426" s="69">
        <v>0.06</v>
      </c>
      <c r="K426" s="33">
        <f t="shared" si="105"/>
        <v>1484.847</v>
      </c>
      <c r="L426" s="33">
        <f t="shared" si="106"/>
        <v>1484.847</v>
      </c>
      <c r="M426" s="34"/>
      <c r="N426" s="99"/>
    </row>
    <row r="427" spans="1:14" ht="16.5" thickBot="1" x14ac:dyDescent="0.3">
      <c r="A427" s="35">
        <f>IF(F427&lt;&gt;"",1+MAX($A$5:A426),"")</f>
        <v>321</v>
      </c>
      <c r="B427" s="27"/>
      <c r="C427" s="28" t="s">
        <v>112</v>
      </c>
      <c r="D427" s="29">
        <f>D424*1.01</f>
        <v>23804.69</v>
      </c>
      <c r="E427" s="30">
        <v>0.05</v>
      </c>
      <c r="F427" s="31">
        <f>D427*(1+E427)</f>
        <v>24994.924500000001</v>
      </c>
      <c r="G427" s="32" t="s">
        <v>45</v>
      </c>
      <c r="H427" s="79"/>
      <c r="I427" s="80"/>
      <c r="J427" s="69">
        <v>2.5000000000000001E-2</v>
      </c>
      <c r="K427" s="33">
        <f t="shared" si="105"/>
        <v>624.87311250000005</v>
      </c>
      <c r="L427" s="33">
        <f t="shared" si="106"/>
        <v>624.87311250000005</v>
      </c>
      <c r="M427" s="34"/>
      <c r="N427" s="99"/>
    </row>
    <row r="428" spans="1:14" ht="16.5" thickBot="1" x14ac:dyDescent="0.3">
      <c r="A428" s="35">
        <f>IF(F428&lt;&gt;"",1+MAX($A$5:A427),"")</f>
        <v>322</v>
      </c>
      <c r="B428" s="27"/>
      <c r="C428" s="28" t="s">
        <v>113</v>
      </c>
      <c r="D428" s="29">
        <f>D424*1.5</f>
        <v>35353.5</v>
      </c>
      <c r="E428" s="30">
        <v>0.05</v>
      </c>
      <c r="F428" s="31">
        <f>D428*(1+E428)</f>
        <v>37121.175000000003</v>
      </c>
      <c r="G428" s="32" t="s">
        <v>45</v>
      </c>
      <c r="H428" s="79"/>
      <c r="I428" s="80"/>
      <c r="J428" s="69">
        <v>3.2000000000000001E-2</v>
      </c>
      <c r="K428" s="33">
        <f t="shared" si="105"/>
        <v>1187.8776</v>
      </c>
      <c r="L428" s="33">
        <f t="shared" si="106"/>
        <v>1187.8776</v>
      </c>
      <c r="M428" s="34"/>
      <c r="N428" s="99"/>
    </row>
    <row r="429" spans="1:14" ht="16.5" thickBot="1" x14ac:dyDescent="0.3">
      <c r="A429" s="35">
        <f>IF(F429&lt;&gt;"",1+MAX($A$5:A428),"")</f>
        <v>323</v>
      </c>
      <c r="B429" s="27"/>
      <c r="C429" s="28" t="s">
        <v>117</v>
      </c>
      <c r="D429" s="29">
        <v>102</v>
      </c>
      <c r="E429" s="30">
        <v>0.05</v>
      </c>
      <c r="F429" s="31">
        <f>D429*(1+E429)</f>
        <v>107.10000000000001</v>
      </c>
      <c r="G429" s="32" t="s">
        <v>55</v>
      </c>
      <c r="H429" s="69">
        <v>2.1</v>
      </c>
      <c r="I429" s="33">
        <f t="shared" ref="I429:I431" si="107">H429*F429</f>
        <v>224.91000000000003</v>
      </c>
      <c r="J429" s="69">
        <v>2.8</v>
      </c>
      <c r="K429" s="33">
        <f t="shared" ref="K429:K431" si="108">F429*J429</f>
        <v>299.88</v>
      </c>
      <c r="L429" s="33">
        <f t="shared" ref="L429:L431" si="109">K429+I429</f>
        <v>524.79</v>
      </c>
      <c r="M429" s="34"/>
      <c r="N429" s="99"/>
    </row>
    <row r="430" spans="1:14" ht="16.5" thickBot="1" x14ac:dyDescent="0.3">
      <c r="A430" s="35">
        <f>IF(F430&lt;&gt;"",1+MAX($A$5:A429),"")</f>
        <v>324</v>
      </c>
      <c r="B430" s="27"/>
      <c r="C430" s="28" t="s">
        <v>119</v>
      </c>
      <c r="D430" s="29">
        <v>16</v>
      </c>
      <c r="E430" s="30">
        <v>0.05</v>
      </c>
      <c r="F430" s="31">
        <f>D430*(1+E430)</f>
        <v>16.8</v>
      </c>
      <c r="G430" s="32" t="s">
        <v>55</v>
      </c>
      <c r="H430" s="69">
        <v>1.8</v>
      </c>
      <c r="I430" s="33">
        <f t="shared" si="107"/>
        <v>30.240000000000002</v>
      </c>
      <c r="J430" s="69">
        <v>1.9</v>
      </c>
      <c r="K430" s="33">
        <f t="shared" si="108"/>
        <v>31.919999999999998</v>
      </c>
      <c r="L430" s="33">
        <f t="shared" si="109"/>
        <v>62.16</v>
      </c>
      <c r="M430" s="34"/>
      <c r="N430" s="99"/>
    </row>
    <row r="431" spans="1:14" ht="16.5" thickBot="1" x14ac:dyDescent="0.3">
      <c r="A431" s="35">
        <f>IF(F431&lt;&gt;"",1+MAX($A$5:A430),"")</f>
        <v>325</v>
      </c>
      <c r="B431" s="27"/>
      <c r="C431" s="28" t="s">
        <v>118</v>
      </c>
      <c r="D431" s="29">
        <v>238</v>
      </c>
      <c r="E431" s="30">
        <v>0.05</v>
      </c>
      <c r="F431" s="31">
        <f>D431*(1+E431)</f>
        <v>249.9</v>
      </c>
      <c r="G431" s="32" t="s">
        <v>55</v>
      </c>
      <c r="H431" s="69">
        <v>1.1000000000000001</v>
      </c>
      <c r="I431" s="33">
        <f t="shared" si="107"/>
        <v>274.89000000000004</v>
      </c>
      <c r="J431" s="69">
        <v>1.5</v>
      </c>
      <c r="K431" s="33">
        <f t="shared" si="108"/>
        <v>374.85</v>
      </c>
      <c r="L431" s="33">
        <f t="shared" si="109"/>
        <v>649.74</v>
      </c>
      <c r="M431" s="34"/>
      <c r="N431" s="99"/>
    </row>
    <row r="432" spans="1:14" ht="29.25" thickBot="1" x14ac:dyDescent="0.3">
      <c r="A432" s="35">
        <f>IF(F432&lt;&gt;"",1+MAX($A$5:A431),"")</f>
        <v>326</v>
      </c>
      <c r="B432" s="96" t="s">
        <v>122</v>
      </c>
      <c r="C432" s="28" t="s">
        <v>123</v>
      </c>
      <c r="D432" s="29">
        <f>(88+1+(294*2))/1.34</f>
        <v>505.2238805970149</v>
      </c>
      <c r="E432" s="30">
        <v>0.05</v>
      </c>
      <c r="F432" s="31">
        <f>D432*(1+E432)</f>
        <v>530.48507462686564</v>
      </c>
      <c r="G432" s="32" t="s">
        <v>45</v>
      </c>
      <c r="H432" s="69">
        <f>2.14*4</f>
        <v>8.56</v>
      </c>
      <c r="I432" s="33">
        <f t="shared" ref="I432" si="110">H432*F432</f>
        <v>4540.9522388059704</v>
      </c>
      <c r="J432" s="69">
        <f>3.2*4</f>
        <v>12.8</v>
      </c>
      <c r="K432" s="33">
        <f t="shared" ref="K432" si="111">F432*J432</f>
        <v>6790.2089552238804</v>
      </c>
      <c r="L432" s="33">
        <f t="shared" ref="L432" si="112">K432+I432</f>
        <v>11331.16119402985</v>
      </c>
      <c r="M432" s="34"/>
      <c r="N432" s="99"/>
    </row>
    <row r="433" spans="1:14" ht="16.5" thickBot="1" x14ac:dyDescent="0.3">
      <c r="A433" s="35">
        <f>IF(F433&lt;&gt;"",1+MAX($A$5:A432),"")</f>
        <v>327</v>
      </c>
      <c r="B433" s="96"/>
      <c r="C433" s="61" t="s">
        <v>53</v>
      </c>
      <c r="D433" s="29">
        <f>(294*0.58)+(4*80)</f>
        <v>490.52</v>
      </c>
      <c r="E433" s="30">
        <v>0.05</v>
      </c>
      <c r="F433" s="31">
        <f>D433*(1+E433)</f>
        <v>515.04600000000005</v>
      </c>
      <c r="G433" s="32" t="s">
        <v>54</v>
      </c>
      <c r="H433" s="69">
        <v>1.8</v>
      </c>
      <c r="I433" s="33">
        <f>H433*F433</f>
        <v>927.08280000000013</v>
      </c>
      <c r="J433" s="69">
        <v>0.56000000000000005</v>
      </c>
      <c r="K433" s="33">
        <f>F433*J433</f>
        <v>288.42576000000008</v>
      </c>
      <c r="L433" s="33">
        <f>K433+I433</f>
        <v>1215.5085600000002</v>
      </c>
      <c r="M433" s="34"/>
      <c r="N433" s="99"/>
    </row>
    <row r="434" spans="1:14" ht="16.5" thickBot="1" x14ac:dyDescent="0.3">
      <c r="A434" s="35">
        <f>IF(F434&lt;&gt;"",1+MAX($A$5:A433),"")</f>
        <v>328</v>
      </c>
      <c r="B434" s="27"/>
      <c r="C434" s="28" t="s">
        <v>114</v>
      </c>
      <c r="D434" s="29">
        <f>16*D433/(32)</f>
        <v>245.26</v>
      </c>
      <c r="E434" s="30">
        <v>0.05</v>
      </c>
      <c r="F434" s="31">
        <f>D434*(1+E434)</f>
        <v>257.52300000000002</v>
      </c>
      <c r="G434" s="32" t="s">
        <v>55</v>
      </c>
      <c r="H434" s="79"/>
      <c r="I434" s="80"/>
      <c r="J434" s="69">
        <v>0.02</v>
      </c>
      <c r="K434" s="33">
        <f t="shared" ref="K434:K438" si="113">F434*J434</f>
        <v>5.1504600000000007</v>
      </c>
      <c r="L434" s="33">
        <f t="shared" ref="L434:L438" si="114">K434+I434</f>
        <v>5.1504600000000007</v>
      </c>
      <c r="M434" s="34"/>
      <c r="N434" s="99"/>
    </row>
    <row r="435" spans="1:14" ht="16.5" thickBot="1" x14ac:dyDescent="0.3">
      <c r="A435" s="35">
        <f>IF(F435&lt;&gt;"",1+MAX($A$5:A434),"")</f>
        <v>329</v>
      </c>
      <c r="B435" s="27"/>
      <c r="C435" s="28" t="s">
        <v>111</v>
      </c>
      <c r="D435" s="29">
        <f>D433</f>
        <v>490.52</v>
      </c>
      <c r="E435" s="30">
        <v>0.05</v>
      </c>
      <c r="F435" s="31">
        <f>D435*(1+E435)</f>
        <v>515.04600000000005</v>
      </c>
      <c r="G435" s="32" t="s">
        <v>54</v>
      </c>
      <c r="H435" s="79"/>
      <c r="I435" s="80"/>
      <c r="J435" s="69">
        <v>0.06</v>
      </c>
      <c r="K435" s="33">
        <f t="shared" si="113"/>
        <v>30.902760000000001</v>
      </c>
      <c r="L435" s="33">
        <f t="shared" si="114"/>
        <v>30.902760000000001</v>
      </c>
      <c r="M435" s="34"/>
      <c r="N435" s="99"/>
    </row>
    <row r="436" spans="1:14" ht="16.5" thickBot="1" x14ac:dyDescent="0.3">
      <c r="A436" s="35">
        <f>IF(F436&lt;&gt;"",1+MAX($A$5:A435),"")</f>
        <v>330</v>
      </c>
      <c r="B436" s="27"/>
      <c r="C436" s="28" t="s">
        <v>112</v>
      </c>
      <c r="D436" s="29">
        <f>D433*1.01</f>
        <v>495.42519999999996</v>
      </c>
      <c r="E436" s="30">
        <v>0.05</v>
      </c>
      <c r="F436" s="31">
        <f>D436*(1+E436)</f>
        <v>520.19646</v>
      </c>
      <c r="G436" s="32" t="s">
        <v>45</v>
      </c>
      <c r="H436" s="79"/>
      <c r="I436" s="80"/>
      <c r="J436" s="69">
        <v>2.5000000000000001E-2</v>
      </c>
      <c r="K436" s="33">
        <f t="shared" si="113"/>
        <v>13.0049115</v>
      </c>
      <c r="L436" s="33">
        <f t="shared" si="114"/>
        <v>13.0049115</v>
      </c>
      <c r="M436" s="34"/>
      <c r="N436" s="99"/>
    </row>
    <row r="437" spans="1:14" ht="16.5" thickBot="1" x14ac:dyDescent="0.3">
      <c r="A437" s="35">
        <f>IF(F437&lt;&gt;"",1+MAX($A$5:A436),"")</f>
        <v>331</v>
      </c>
      <c r="B437" s="27"/>
      <c r="C437" s="28" t="s">
        <v>113</v>
      </c>
      <c r="D437" s="29">
        <f>D433*1.5</f>
        <v>735.78</v>
      </c>
      <c r="E437" s="30">
        <v>0.05</v>
      </c>
      <c r="F437" s="31">
        <f>D437*(1+E437)</f>
        <v>772.56899999999996</v>
      </c>
      <c r="G437" s="32" t="s">
        <v>45</v>
      </c>
      <c r="H437" s="79"/>
      <c r="I437" s="80"/>
      <c r="J437" s="69">
        <v>3.2000000000000001E-2</v>
      </c>
      <c r="K437" s="33">
        <f t="shared" si="113"/>
        <v>24.722207999999998</v>
      </c>
      <c r="L437" s="33">
        <f t="shared" si="114"/>
        <v>24.722207999999998</v>
      </c>
      <c r="M437" s="34"/>
      <c r="N437" s="99"/>
    </row>
    <row r="438" spans="1:14" ht="16.5" thickBot="1" x14ac:dyDescent="0.3">
      <c r="A438" s="35">
        <f>IF(F438&lt;&gt;"",1+MAX($A$5:A437),"")</f>
        <v>332</v>
      </c>
      <c r="B438" s="27"/>
      <c r="C438" s="28" t="s">
        <v>121</v>
      </c>
      <c r="D438" s="29">
        <v>2947</v>
      </c>
      <c r="E438" s="30">
        <v>0.05</v>
      </c>
      <c r="F438" s="31">
        <f>D438*(1+E438)</f>
        <v>3094.35</v>
      </c>
      <c r="G438" s="32" t="s">
        <v>54</v>
      </c>
      <c r="H438" s="69">
        <v>0</v>
      </c>
      <c r="I438" s="33">
        <f t="shared" ref="I438" si="115">H438*F438</f>
        <v>0</v>
      </c>
      <c r="J438" s="69">
        <v>0</v>
      </c>
      <c r="K438" s="33">
        <f t="shared" si="113"/>
        <v>0</v>
      </c>
      <c r="L438" s="33">
        <f t="shared" si="114"/>
        <v>0</v>
      </c>
      <c r="M438" s="34"/>
      <c r="N438" s="99"/>
    </row>
    <row r="439" spans="1:14" ht="29.25" thickBot="1" x14ac:dyDescent="0.3">
      <c r="A439" s="35">
        <f>IF(F439&lt;&gt;"",1+MAX($A$5:A438),"")</f>
        <v>333</v>
      </c>
      <c r="B439" s="27"/>
      <c r="C439" s="28" t="s">
        <v>79</v>
      </c>
      <c r="D439" s="29">
        <f>D424</f>
        <v>23569</v>
      </c>
      <c r="E439" s="30">
        <v>0.05</v>
      </c>
      <c r="F439" s="31">
        <f>D439*(1+E439)</f>
        <v>24747.45</v>
      </c>
      <c r="G439" s="32" t="s">
        <v>54</v>
      </c>
      <c r="H439" s="69">
        <v>0</v>
      </c>
      <c r="I439" s="33">
        <f t="shared" ref="I439" si="116">H439*F439</f>
        <v>0</v>
      </c>
      <c r="J439" s="69">
        <v>0</v>
      </c>
      <c r="K439" s="33">
        <f t="shared" ref="K439" si="117">F439*J439</f>
        <v>0</v>
      </c>
      <c r="L439" s="33">
        <f t="shared" ref="L439" si="118">K439+I439</f>
        <v>0</v>
      </c>
      <c r="M439" s="34"/>
      <c r="N439" s="99"/>
    </row>
    <row r="440" spans="1:14" ht="16.5" thickBot="1" x14ac:dyDescent="0.3">
      <c r="A440" s="35" t="str">
        <f>IF(F440&lt;&gt;"",1+MAX($A$5:A439),"")</f>
        <v/>
      </c>
      <c r="B440" s="27"/>
      <c r="C440" s="28"/>
      <c r="D440" s="29"/>
      <c r="E440" s="30"/>
      <c r="F440" s="31"/>
      <c r="G440" s="32"/>
      <c r="H440" s="69"/>
      <c r="I440" s="33"/>
      <c r="J440" s="69"/>
      <c r="K440" s="33"/>
      <c r="L440" s="33"/>
      <c r="M440" s="34"/>
      <c r="N440" s="99"/>
    </row>
    <row r="441" spans="1:14" ht="16.5" thickBot="1" x14ac:dyDescent="0.3">
      <c r="A441" s="87" t="s">
        <v>1</v>
      </c>
      <c r="B441" s="88"/>
      <c r="C441" s="88"/>
      <c r="D441" s="89"/>
      <c r="E441" s="36"/>
      <c r="F441" s="37"/>
      <c r="G441" s="38"/>
      <c r="H441" s="70"/>
      <c r="I441" s="39">
        <f>SUM(I5:I440)</f>
        <v>2230932.0200636727</v>
      </c>
      <c r="J441" s="70"/>
      <c r="K441" s="39">
        <f>SUM(K5:K440)</f>
        <v>1948243.1940435164</v>
      </c>
      <c r="L441" s="39">
        <f>SUM(I441:K441)</f>
        <v>4179175.2141071893</v>
      </c>
      <c r="M441" s="40">
        <f>SUM(M5:M440)</f>
        <v>4179175.2141071875</v>
      </c>
    </row>
    <row r="442" spans="1:14" ht="17.25" thickTop="1" thickBot="1" x14ac:dyDescent="0.3">
      <c r="A442" s="87" t="s">
        <v>32</v>
      </c>
      <c r="B442" s="88"/>
      <c r="C442" s="88"/>
      <c r="D442" s="89"/>
      <c r="E442" s="41"/>
      <c r="F442" s="42"/>
      <c r="G442" s="43"/>
      <c r="H442" s="77">
        <v>0.3</v>
      </c>
      <c r="I442" s="44">
        <f>H442*I441</f>
        <v>669279.6060191018</v>
      </c>
      <c r="J442" s="71"/>
      <c r="K442" s="44">
        <f>K441*H442</f>
        <v>584472.95821305492</v>
      </c>
      <c r="L442" s="44">
        <f>H442*L441</f>
        <v>1253752.5642321568</v>
      </c>
      <c r="M442" s="45">
        <f>H442*M441</f>
        <v>1253752.5642321561</v>
      </c>
    </row>
    <row r="443" spans="1:14" ht="17.25" thickTop="1" thickBot="1" x14ac:dyDescent="0.3">
      <c r="A443" s="87" t="s">
        <v>30</v>
      </c>
      <c r="B443" s="88"/>
      <c r="C443" s="88"/>
      <c r="D443" s="89"/>
      <c r="E443" s="46"/>
      <c r="F443" s="46"/>
      <c r="G443" s="47"/>
      <c r="H443" s="78">
        <v>0.05</v>
      </c>
      <c r="I443" s="48">
        <f>H443*I441</f>
        <v>111546.60100318363</v>
      </c>
      <c r="J443" s="72"/>
      <c r="K443" s="48">
        <f>K441*H443</f>
        <v>97412.159702175821</v>
      </c>
      <c r="L443" s="48">
        <f>H443*L441</f>
        <v>208958.76070535948</v>
      </c>
      <c r="M443" s="49">
        <f>H443*M441</f>
        <v>208958.7607053594</v>
      </c>
    </row>
    <row r="444" spans="1:14" ht="17.25" thickTop="1" thickBot="1" x14ac:dyDescent="0.3">
      <c r="A444" s="87" t="s">
        <v>31</v>
      </c>
      <c r="B444" s="88"/>
      <c r="C444" s="88"/>
      <c r="D444" s="89"/>
      <c r="E444" s="46"/>
      <c r="F444" s="46"/>
      <c r="G444" s="47"/>
      <c r="H444" s="78">
        <v>7.0000000000000007E-2</v>
      </c>
      <c r="I444" s="48">
        <f>H444*I441</f>
        <v>156165.24140445711</v>
      </c>
      <c r="J444" s="72"/>
      <c r="K444" s="48">
        <f>K441*H444</f>
        <v>136377.02358304616</v>
      </c>
      <c r="L444" s="48">
        <f>H444*L441</f>
        <v>292542.26498750329</v>
      </c>
      <c r="M444" s="49">
        <f>H444*M441</f>
        <v>292542.26498750318</v>
      </c>
    </row>
    <row r="445" spans="1:14" ht="17.25" thickTop="1" thickBot="1" x14ac:dyDescent="0.3">
      <c r="A445" s="50"/>
      <c r="B445" s="37"/>
      <c r="C445" s="37"/>
      <c r="D445" s="37"/>
      <c r="E445" s="37"/>
      <c r="F445" s="37"/>
      <c r="G445" s="38"/>
      <c r="H445" s="73"/>
      <c r="I445" s="51"/>
      <c r="J445" s="73"/>
      <c r="K445" s="51"/>
      <c r="L445" s="51"/>
      <c r="M445" s="52"/>
    </row>
    <row r="446" spans="1:14" ht="17.25" thickTop="1" thickBot="1" x14ac:dyDescent="0.3">
      <c r="A446" s="84" t="s">
        <v>7</v>
      </c>
      <c r="B446" s="85"/>
      <c r="C446" s="85"/>
      <c r="D446" s="86"/>
      <c r="E446" s="42"/>
      <c r="F446" s="42"/>
      <c r="G446" s="43"/>
      <c r="H446" s="74"/>
      <c r="I446" s="53">
        <f>SUM(I441:I444)</f>
        <v>3167923.4684904148</v>
      </c>
      <c r="J446" s="74"/>
      <c r="K446" s="53">
        <f>SUM(K441:K444)</f>
        <v>2766505.3355417931</v>
      </c>
      <c r="L446" s="53">
        <f>SUM(L441:L444)</f>
        <v>5934428.8040322084</v>
      </c>
      <c r="M446" s="54">
        <f>SUM(M441:M444)</f>
        <v>5934428.8040322056</v>
      </c>
    </row>
    <row r="447" spans="1:14" ht="17.25" thickTop="1" thickBot="1" x14ac:dyDescent="0.3">
      <c r="A447" s="12"/>
      <c r="B447" s="13"/>
      <c r="C447" s="13"/>
      <c r="D447" s="13"/>
      <c r="E447" s="13"/>
      <c r="F447" s="13"/>
      <c r="G447" s="55"/>
      <c r="H447" s="75"/>
      <c r="I447" s="13"/>
      <c r="J447" s="75"/>
      <c r="K447" s="13"/>
      <c r="L447" s="13"/>
      <c r="M447" s="56"/>
    </row>
    <row r="448" spans="1:14" x14ac:dyDescent="0.25">
      <c r="L448" s="1"/>
    </row>
    <row r="449" spans="11:12" x14ac:dyDescent="0.25">
      <c r="L449" s="1"/>
    </row>
    <row r="450" spans="11:12" x14ac:dyDescent="0.25">
      <c r="L450" s="1"/>
    </row>
    <row r="451" spans="11:12" x14ac:dyDescent="0.25">
      <c r="L451" s="1"/>
    </row>
    <row r="452" spans="11:12" x14ac:dyDescent="0.25">
      <c r="K452" s="58"/>
      <c r="L452" s="1"/>
    </row>
    <row r="453" spans="11:12" x14ac:dyDescent="0.25">
      <c r="L453" s="1"/>
    </row>
    <row r="454" spans="11:12" x14ac:dyDescent="0.25">
      <c r="L454" s="1"/>
    </row>
    <row r="455" spans="11:12" x14ac:dyDescent="0.25">
      <c r="L455" s="1"/>
    </row>
    <row r="456" spans="11:12" x14ac:dyDescent="0.25">
      <c r="L456" s="1"/>
    </row>
    <row r="457" spans="11:12" x14ac:dyDescent="0.25">
      <c r="L457" s="1"/>
    </row>
    <row r="458" spans="11:12" x14ac:dyDescent="0.25">
      <c r="L458" s="1"/>
    </row>
    <row r="459" spans="11:12" x14ac:dyDescent="0.25">
      <c r="L459" s="1"/>
    </row>
    <row r="460" spans="11:12" x14ac:dyDescent="0.25">
      <c r="L460" s="1"/>
    </row>
    <row r="461" spans="11:12" x14ac:dyDescent="0.25">
      <c r="L461" s="1"/>
    </row>
    <row r="462" spans="11:12" x14ac:dyDescent="0.25">
      <c r="L462" s="1"/>
    </row>
  </sheetData>
  <mergeCells count="18">
    <mergeCell ref="B432:B433"/>
    <mergeCell ref="B300:C300"/>
    <mergeCell ref="A446:D446"/>
    <mergeCell ref="A443:D443"/>
    <mergeCell ref="A444:D444"/>
    <mergeCell ref="F1:G1"/>
    <mergeCell ref="F2:G2"/>
    <mergeCell ref="F3:G3"/>
    <mergeCell ref="A441:D441"/>
    <mergeCell ref="A442:D442"/>
    <mergeCell ref="B18:C18"/>
    <mergeCell ref="B143:C143"/>
    <mergeCell ref="B399:C399"/>
    <mergeCell ref="B422:C422"/>
    <mergeCell ref="B272:C272"/>
    <mergeCell ref="B203:B204"/>
    <mergeCell ref="B131:B132"/>
    <mergeCell ref="B215:C215"/>
  </mergeCells>
  <printOptions horizontalCentered="1" verticalCentered="1"/>
  <pageMargins left="0.25" right="0.25" top="0.75" bottom="0.75" header="0.3" footer="0.3"/>
  <pageSetup scale="47" fitToHeight="2" orientation="portrait" r:id="rId1"/>
  <ignoredErrors>
    <ignoredError sqref="L44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29E0984A-FB74-4A10-B248-1667D06105B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ESTIMATE</vt:lpstr>
      <vt:lpstr>Chart1</vt:lpstr>
      <vt:lpstr>ESTIMATE!Print_Area</vt:lpstr>
      <vt:lpstr>ESTIMATE!Print_Titles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Marks</dc:creator>
  <cp:lastModifiedBy>hp</cp:lastModifiedBy>
  <cp:lastPrinted>2020-08-15T23:49:15Z</cp:lastPrinted>
  <dcterms:created xsi:type="dcterms:W3CDTF">2004-05-05T14:08:18Z</dcterms:created>
  <dcterms:modified xsi:type="dcterms:W3CDTF">2023-03-31T17:16:33Z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{29E0984A-FB74-4A10-B248-1667D06105B6}</vt:lpwstr>
  </property>
</Properties>
</file>